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15.xml" ContentType="application/vnd.openxmlformats-officedocument.spreadsheetml.comments+xml"/>
  <Override PartName="/xl/styles.xml" ContentType="application/vnd.openxmlformats-officedocument.spreadsheetml.styles+xml"/>
  <Override PartName="/xl/worksheets/_rels/sheet15.xml.rels" ContentType="application/vnd.openxmlformats-package.relationships+xml"/>
  <Override PartName="/xl/worksheets/_rels/sheet9.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10.xml.rels" ContentType="application/vnd.openxmlformats-package.relationships+xml"/>
  <Override PartName="/xl/worksheets/_rels/sheet12.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5.xml.rels" ContentType="application/vnd.openxmlformats-package.relationships+xml"/>
  <Override PartName="/xl/worksheets/_rels/sheet11.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1"/>
  </bookViews>
  <sheets>
    <sheet name="START HERE" sheetId="1" state="visible" r:id="rId3"/>
    <sheet name="Organization" sheetId="2" state="visible" r:id="rId4"/>
    <sheet name="Product" sheetId="3" state="visible" r:id="rId5"/>
    <sheet name="Infrastructure" sheetId="4" state="visible" r:id="rId6"/>
    <sheet name="IT Accessibility" sheetId="5" state="visible" r:id="rId7"/>
    <sheet name="Case-Specific" sheetId="6" state="visible" r:id="rId8"/>
    <sheet name="AI" sheetId="7" state="visible" r:id="rId9"/>
    <sheet name="Privacy" sheetId="8" state="visible" r:id="rId10"/>
    <sheet name="Institution Evaluation" sheetId="9" state="visible" r:id="rId11"/>
    <sheet name="High-Risk Evaluation" sheetId="10" state="visible" r:id="rId12"/>
    <sheet name="Privacy Analyst Evaluation" sheetId="11" state="visible" r:id="rId13"/>
    <sheet name="Analyst Reference" sheetId="12" state="visible" r:id="rId14"/>
    <sheet name="Questions" sheetId="13" state="hidden" r:id="rId15"/>
    <sheet name="Auto Responses" sheetId="14" state="hidden" r:id="rId16"/>
    <sheet name="(backend scoring)" sheetId="15" state="hidden" r:id="rId17"/>
  </sheets>
  <definedNames>
    <definedName function="false" hidden="true" localSheetId="14" name="_xlnm._FilterDatabase" vbProcedure="false">'(backend scoring)'!$A$2:$V$333</definedName>
  </definedNames>
  <calcPr iterateCount="100" refMode="A1" iterate="false" iterateDelta="0.0001"/>
  <extLst>
    <ext xmlns:loext="http://schemas.libreoffice.org/" uri="{7626C862-2A13-11E5-B345-FEFF819CDC9F}">
      <loext:extCalcPr stringRefSyntax="ExcelA1"/>
    </ext>
  </extLst>
</workbook>
</file>

<file path=xl/comments15.xml><?xml version="1.0" encoding="utf-8"?>
<comments xmlns="http://schemas.openxmlformats.org/spreadsheetml/2006/main" xmlns:xdr="http://schemas.openxmlformats.org/drawingml/2006/spreadsheetDrawing">
  <authors>
    <author>Unknown Author</author>
    <author>tc={4A0CC0DA-6623-4115-B60A-38E5EC6CE394}</author>
  </authors>
  <commentList>
    <comment ref="C11" authorId="1">
      <text>
        <r>
          <rPr>
            <sz val="10"/>
            <rFont val="Arial"/>
            <family val="2"/>
          </rPr>
          <t xml:space="preserve">Open ended, all countries where employees work
	-Nichole Arbino
Stays in GNRL
	-Nichole Arbino</t>
        </r>
      </text>
    </comment>
    <comment ref="C49" authorId="0">
      <text>
        <r>
          <rPr>
            <sz val="10"/>
            <rFont val="Arial"/>
            <family val="2"/>
          </rPr>
          <t xml:space="preserve">[Threaded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r>
      </text>
    </comment>
  </commentList>
</comments>
</file>

<file path=xl/sharedStrings.xml><?xml version="1.0" encoding="utf-8"?>
<sst xmlns="http://schemas.openxmlformats.org/spreadsheetml/2006/main" count="5474" uniqueCount="1830">
  <si>
    <t xml:space="preserve">Cells contained in this worksheet may contain cells with dropdown lists as well as autopopulated formulas. </t>
  </si>
  <si>
    <r>
      <rPr>
        <b val="true"/>
        <sz val="20"/>
        <color theme="0"/>
        <rFont val="Verdana"/>
        <family val="2"/>
        <charset val="1"/>
      </rPr>
      <t xml:space="preserve">HECVAT™ Solution Provider Response - </t>
    </r>
    <r>
      <rPr>
        <b val="true"/>
        <i val="true"/>
        <sz val="20"/>
        <color theme="0"/>
        <rFont val="Verdana"/>
        <family val="2"/>
        <charset val="1"/>
      </rPr>
      <t xml:space="preserve">Start Here</t>
    </r>
  </si>
  <si>
    <t xml:space="preserve">Date Completed</t>
  </si>
  <si>
    <t xml:space="preserve">Instructions for Solution Providers</t>
  </si>
  <si>
    <t xml:space="preserve">GNRL-01</t>
  </si>
  <si>
    <t xml:space="preserve">QGIS.org</t>
  </si>
  <si>
    <t xml:space="preserve">GNRL-02</t>
  </si>
  <si>
    <t xml:space="preserve">GNRL-03</t>
  </si>
  <si>
    <t xml:space="preserve">QGIS is a free and open source Geographic information system, running on Windows, MacOS, Linux and with solution for mobile OS.</t>
  </si>
  <si>
    <t xml:space="preserve">GNRL-04</t>
  </si>
  <si>
    <t xml:space="preserve">Program Steering Commitee (PSC)</t>
  </si>
  <si>
    <t xml:space="preserve">GNRL-05</t>
  </si>
  <si>
    <t xml:space="preserve">PSC</t>
  </si>
  <si>
    <t xml:space="preserve">GNRL-06</t>
  </si>
  <si>
    <t xml:space="preserve">qgis-psc@lists.osgeo.org.</t>
  </si>
  <si>
    <t xml:space="preserve">GNRL-07</t>
  </si>
  <si>
    <t xml:space="preserve">NA</t>
  </si>
  <si>
    <t xml:space="preserve">GNRL-08</t>
  </si>
  <si>
    <t xml:space="preserve">Switzerland</t>
  </si>
  <si>
    <t xml:space="preserve">GNRL-09</t>
  </si>
  <si>
    <t xml:space="preserve">Worldwide </t>
  </si>
  <si>
    <t xml:space="preserve">Answer</t>
  </si>
  <si>
    <t xml:space="preserve">Additional Information</t>
  </si>
  <si>
    <t xml:space="preserve">Guidance</t>
  </si>
  <si>
    <t xml:space="preserve">Analyst Notes</t>
  </si>
  <si>
    <t xml:space="preserve">COMP-01</t>
  </si>
  <si>
    <t xml:space="preserve">No</t>
  </si>
  <si>
    <t xml:space="preserve">QGIS is driven by community. </t>
  </si>
  <si>
    <t xml:space="preserve">COMP-02</t>
  </si>
  <si>
    <t xml:space="preserve">GIS is an open-source project comprised of contributors worldwide; no single company sells a hosted QGIS service by default). Provide organization/legal entity if your institution contracts with a third-party vendor providing commercial QGIS support.</t>
  </si>
  <si>
    <t xml:space="preserve">COMP-03</t>
  </si>
  <si>
    <t xml:space="preserve">Yes</t>
  </si>
  <si>
    <t xml:space="preserve">QGIS is a desktop tool. Question not applicable. </t>
  </si>
  <si>
    <t xml:space="preserve">COMP-04</t>
  </si>
  <si>
    <t xml:space="preserve">We have roles for security management. Mix of benevolent and professional contributors. </t>
  </si>
  <si>
    <t xml:space="preserve">COMP-05</t>
  </si>
  <si>
    <t xml:space="preserve">QGIS.org does not handle users data as it is not a Saas Service.
QGIS let’s you pull your own datasources to make maps, data input, data analysis. No data is ever uploaded in a distant server handled by QGIS.org. Each data provider has itw own security access rules, from none for CSV, to really advanced for PostgreSQL. QGIS follows state of art for each data provider requirements, and offers an authentication manager to protect credential in an encrypted local vault (funded by NSA)</t>
  </si>
  <si>
    <t xml:space="preserve">End Table Data</t>
  </si>
  <si>
    <t xml:space="preserve">REQU-01</t>
  </si>
  <si>
    <t xml:space="preserve">external companies can build Saas services using QGIS server or QGIS mobiile features, but those are separate products and handled by other companies</t>
  </si>
  <si>
    <t xml:space="preserve">REQU-02</t>
  </si>
  <si>
    <t xml:space="preserve">Yes, Qt GUI, CLI</t>
  </si>
  <si>
    <t xml:space="preserve">REQU-03</t>
  </si>
  <si>
    <t xml:space="preserve">QGIS.org is an association in charge of ensuring project is run in full transparency and democracy. External commercial companies may provide consulting services. </t>
  </si>
  <si>
    <t xml:space="preserve">REQU-04</t>
  </si>
  <si>
    <t xml:space="preserve">REQU-05</t>
  </si>
  <si>
    <t xml:space="preserve">REQU-06</t>
  </si>
  <si>
    <t xml:space="preserve">REQU-07</t>
  </si>
  <si>
    <t xml:space="preserve">REQU-08</t>
  </si>
  <si>
    <t xml:space="preserve">Note: The "Organization" tab is required for ALL products and services. </t>
  </si>
  <si>
    <t xml:space="preserve">Copyright © 2025 EDUCAUSE</t>
  </si>
  <si>
    <r>
      <rPr>
        <b val="true"/>
        <sz val="20"/>
        <color theme="0"/>
        <rFont val="Verdana"/>
        <family val="2"/>
        <charset val="1"/>
      </rPr>
      <t xml:space="preserve">HECVAT Solution Provider Response - </t>
    </r>
    <r>
      <rPr>
        <b val="true"/>
        <i val="true"/>
        <sz val="20"/>
        <color theme="0"/>
        <rFont val="Verdana"/>
        <family val="2"/>
        <charset val="1"/>
      </rPr>
      <t xml:space="preserve">Organization</t>
    </r>
  </si>
  <si>
    <t xml:space="preserve">DOCU-01</t>
  </si>
  <si>
    <t xml:space="preserve">NA – we don’t provide online service</t>
  </si>
  <si>
    <t xml:space="preserve">DOCU-02</t>
  </si>
  <si>
    <t xml:space="preserve">DOCU-03</t>
  </si>
  <si>
    <t xml:space="preserve">DOCU-04</t>
  </si>
  <si>
    <t xml:space="preserve">DOCU-05</t>
  </si>
  <si>
    <t xml:space="preserve">All source code, documentation are online </t>
  </si>
  <si>
    <t xml:space="preserve">DOCU-06</t>
  </si>
  <si>
    <t xml:space="preserve">We don’t handle private information </t>
  </si>
  <si>
    <t xml:space="preserve">DOCU-07</t>
  </si>
  <si>
    <t xml:space="preserve">QGIS.org has 2 employees and a benevolent staff of 6, with the help of more than 40 active members. Most of the work is provided by commercial companies hosting developpers and contributors. They have such policies.</t>
  </si>
  <si>
    <t xml:space="preserve">THRD-01</t>
  </si>
  <si>
    <t xml:space="preserve">We don’t share data</t>
  </si>
  <si>
    <t xml:space="preserve">THRD-02</t>
  </si>
  <si>
    <t xml:space="preserve">Users stay in full ownership of their data. </t>
  </si>
  <si>
    <t xml:space="preserve">THRD-03</t>
  </si>
  <si>
    <t xml:space="preserve">THRD-04</t>
  </si>
  <si>
    <t xml:space="preserve">NA </t>
  </si>
  <si>
    <t xml:space="preserve">THRD-05</t>
  </si>
  <si>
    <t xml:space="preserve">CHNG-01</t>
  </si>
  <si>
    <t xml:space="preserve">CHNG-02</t>
  </si>
  <si>
    <t xml:space="preserve">yes</t>
  </si>
  <si>
    <t xml:space="preserve">We follow a strict rule for deprecations and API breaks. </t>
  </si>
  <si>
    <t xml:space="preserve">CHNG-03</t>
  </si>
  <si>
    <t xml:space="preserve">CHNG-04</t>
  </si>
  <si>
    <t xml:space="preserve">CHNG-05</t>
  </si>
  <si>
    <t xml:space="preserve">CHNG-06</t>
  </si>
  <si>
    <t xml:space="preserve">CHNG-07</t>
  </si>
  <si>
    <t xml:space="preserve">regular update strategy</t>
  </si>
  <si>
    <t xml:space="preserve">CHNG-08</t>
  </si>
  <si>
    <t xml:space="preserve">CHNG-09</t>
  </si>
  <si>
    <t xml:space="preserve">CHNG-10</t>
  </si>
  <si>
    <t xml:space="preserve">See roadmap and lifecycle pages</t>
  </si>
  <si>
    <t xml:space="preserve">CHNG-11</t>
  </si>
  <si>
    <t xml:space="preserve">fixed release schedule. Each month for minor patch versions, each 4 monthes for release version, Each year for long term support version</t>
  </si>
  <si>
    <t xml:space="preserve">CHNG-12</t>
  </si>
  <si>
    <t xml:space="preserve">discussed in the open</t>
  </si>
  <si>
    <t xml:space="preserve">CHNG-13</t>
  </si>
  <si>
    <t xml:space="preserve">CHNG-14</t>
  </si>
  <si>
    <t xml:space="preserve">CHNG-15</t>
  </si>
  <si>
    <t xml:space="preserve">CHNG-16</t>
  </si>
  <si>
    <t xml:space="preserve">PPPR-01</t>
  </si>
  <si>
    <t xml:space="preserve">PPPR-02</t>
  </si>
  <si>
    <t xml:space="preserve">Easily has we don’t manage any sensitive or personal data. </t>
  </si>
  <si>
    <t xml:space="preserve">PPPR-03</t>
  </si>
  <si>
    <t xml:space="preserve">Swiss regulations</t>
  </si>
  <si>
    <t xml:space="preserve">PPPR-04</t>
  </si>
  <si>
    <t xml:space="preserve">PPPR-05</t>
  </si>
  <si>
    <t xml:space="preserve">Roadmap is contributor driven</t>
  </si>
  <si>
    <t xml:space="preserve">PPPR-06</t>
  </si>
  <si>
    <t xml:space="preserve">PPPR-07</t>
  </si>
  <si>
    <t xml:space="preserve">Contributors agreement and code of conduct for each project</t>
  </si>
  <si>
    <t xml:space="preserve">PPPR-08</t>
  </si>
  <si>
    <t xml:space="preserve">See https://www.qgis.org/resources/support/security/</t>
  </si>
  <si>
    <t xml:space="preserve">PPPR-09</t>
  </si>
  <si>
    <t xml:space="preserve">Review ensure QGIS don’t leak or communicate data to any server </t>
  </si>
  <si>
    <t xml:space="preserve">PPPR-10</t>
  </si>
  <si>
    <t xml:space="preserve">PPPR-11</t>
  </si>
  <si>
    <t xml:space="preserve">PPPR-12</t>
  </si>
  <si>
    <t xml:space="preserve">We have security programs and fundings. Companies using QGIS are funding those programs. Those concern ALL contributors, not only employees</t>
  </si>
  <si>
    <t xml:space="preserve">PPPR-13</t>
  </si>
  <si>
    <t xml:space="preserve">PPPR-14</t>
  </si>
  <si>
    <t xml:space="preserve">PPPR-15</t>
  </si>
  <si>
    <r>
      <rPr>
        <b val="true"/>
        <sz val="20"/>
        <color theme="0"/>
        <rFont val="Verdana"/>
        <family val="2"/>
        <charset val="1"/>
      </rPr>
      <t xml:space="preserve">HECVAT Solution Provider Response - </t>
    </r>
    <r>
      <rPr>
        <b val="true"/>
        <i val="true"/>
        <sz val="20"/>
        <color theme="0"/>
        <rFont val="Verdana"/>
        <family val="2"/>
        <charset val="1"/>
      </rPr>
      <t xml:space="preserve">Product</t>
    </r>
  </si>
  <si>
    <t xml:space="preserve">AAAI-01</t>
  </si>
  <si>
    <t xml:space="preserve">AAAI-02</t>
  </si>
  <si>
    <t xml:space="preserve">AAAI-03</t>
  </si>
  <si>
    <t xml:space="preserve">AAAI-04</t>
  </si>
  <si>
    <t xml:space="preserve">AAAI-05</t>
  </si>
  <si>
    <t xml:space="preserve">AAAI-06</t>
  </si>
  <si>
    <t xml:space="preserve">AAAI-07</t>
  </si>
  <si>
    <t xml:space="preserve">AAAI-08</t>
  </si>
  <si>
    <t xml:space="preserve">AAAI-09</t>
  </si>
  <si>
    <t xml:space="preserve">AAAI-10</t>
  </si>
  <si>
    <t xml:space="preserve">AAAI-11</t>
  </si>
  <si>
    <t xml:space="preserve">AAAI-12</t>
  </si>
  <si>
    <t xml:space="preserve">AAAI-13</t>
  </si>
  <si>
    <t xml:space="preserve">AAAI-14</t>
  </si>
  <si>
    <t xml:space="preserve">AAAI-15</t>
  </si>
  <si>
    <t xml:space="preserve">AAAI-16</t>
  </si>
  <si>
    <t xml:space="preserve">AAAI-17</t>
  </si>
  <si>
    <t xml:space="preserve">AAAI-18</t>
  </si>
  <si>
    <t xml:space="preserve">DATA-01</t>
  </si>
  <si>
    <t xml:space="preserve">DATA-02</t>
  </si>
  <si>
    <t xml:space="preserve">DATA-03</t>
  </si>
  <si>
    <t xml:space="preserve">DATA-04</t>
  </si>
  <si>
    <t xml:space="preserve">DATA-05</t>
  </si>
  <si>
    <t xml:space="preserve">DATA-06</t>
  </si>
  <si>
    <t xml:space="preserve">DATA-07</t>
  </si>
  <si>
    <t xml:space="preserve">DATA-08</t>
  </si>
  <si>
    <t xml:space="preserve">DATA-09</t>
  </si>
  <si>
    <t xml:space="preserve">DATA-10</t>
  </si>
  <si>
    <t xml:space="preserve">DATA-11</t>
  </si>
  <si>
    <t xml:space="preserve">DATA-12</t>
  </si>
  <si>
    <t xml:space="preserve">DATA-13</t>
  </si>
  <si>
    <t xml:space="preserve">DATA-14</t>
  </si>
  <si>
    <t xml:space="preserve">DATA-15</t>
  </si>
  <si>
    <t xml:space="preserve">DATA-16</t>
  </si>
  <si>
    <t xml:space="preserve">DATA-17</t>
  </si>
  <si>
    <t xml:space="preserve">DATA-18</t>
  </si>
  <si>
    <t xml:space="preserve">DATA-19</t>
  </si>
  <si>
    <t xml:space="preserve">DATA-20</t>
  </si>
  <si>
    <t xml:space="preserve">DATA-21</t>
  </si>
  <si>
    <t xml:space="preserve">DATA-22</t>
  </si>
  <si>
    <t xml:space="preserve">DATA-23</t>
  </si>
  <si>
    <r>
      <rPr>
        <b val="true"/>
        <sz val="20"/>
        <color theme="0"/>
        <rFont val="Verdana"/>
        <family val="2"/>
        <charset val="1"/>
      </rPr>
      <t xml:space="preserve">HECVAT Solution Provider Response - </t>
    </r>
    <r>
      <rPr>
        <b val="true"/>
        <i val="true"/>
        <sz val="20"/>
        <color theme="0"/>
        <rFont val="Verdana"/>
        <family val="2"/>
        <charset val="1"/>
      </rPr>
      <t xml:space="preserve">Infrastructure</t>
    </r>
  </si>
  <si>
    <t xml:space="preserve">APPL-01</t>
  </si>
  <si>
    <t xml:space="preserve">APPL-02</t>
  </si>
  <si>
    <t xml:space="preserve">APPL-03</t>
  </si>
  <si>
    <t xml:space="preserve">APPL-04</t>
  </si>
  <si>
    <t xml:space="preserve">APPL-05</t>
  </si>
  <si>
    <t xml:space="preserve">APPL-06</t>
  </si>
  <si>
    <t xml:space="preserve">APPL-07</t>
  </si>
  <si>
    <t xml:space="preserve">APPL-08</t>
  </si>
  <si>
    <t xml:space="preserve">APPL-09</t>
  </si>
  <si>
    <t xml:space="preserve">APPL-10</t>
  </si>
  <si>
    <t xml:space="preserve">APPL-11</t>
  </si>
  <si>
    <t xml:space="preserve">APPL-12</t>
  </si>
  <si>
    <t xml:space="preserve">APPL-13</t>
  </si>
  <si>
    <t xml:space="preserve">APPL-14</t>
  </si>
  <si>
    <t xml:space="preserve">DCTR-01</t>
  </si>
  <si>
    <t xml:space="preserve">DCTR-02</t>
  </si>
  <si>
    <t xml:space="preserve">DCTR-03</t>
  </si>
  <si>
    <t xml:space="preserve">DCTR-04</t>
  </si>
  <si>
    <t xml:space="preserve">DCTR-05</t>
  </si>
  <si>
    <t xml:space="preserve">DCTR-06</t>
  </si>
  <si>
    <t xml:space="preserve">DCTR-07</t>
  </si>
  <si>
    <t xml:space="preserve">DCTR-08</t>
  </si>
  <si>
    <t xml:space="preserve">DCTR-09</t>
  </si>
  <si>
    <t xml:space="preserve">DCTR-10</t>
  </si>
  <si>
    <t xml:space="preserve">DCTR-11</t>
  </si>
  <si>
    <t xml:space="preserve">DCTR-12</t>
  </si>
  <si>
    <t xml:space="preserve">DCTR-13</t>
  </si>
  <si>
    <t xml:space="preserve">DCTR-14</t>
  </si>
  <si>
    <t xml:space="preserve">DCTR-15</t>
  </si>
  <si>
    <t xml:space="preserve">DCTR-16</t>
  </si>
  <si>
    <t xml:space="preserve">FIDP-01</t>
  </si>
  <si>
    <t xml:space="preserve">FIDP-02</t>
  </si>
  <si>
    <t xml:space="preserve">FIDP-03</t>
  </si>
  <si>
    <t xml:space="preserve">FIDP-04</t>
  </si>
  <si>
    <t xml:space="preserve">FIDP-05</t>
  </si>
  <si>
    <t xml:space="preserve">FIDP-06</t>
  </si>
  <si>
    <t xml:space="preserve">FIDP-07</t>
  </si>
  <si>
    <t xml:space="preserve">FIDP-08</t>
  </si>
  <si>
    <t xml:space="preserve">FIDP-09</t>
  </si>
  <si>
    <t xml:space="preserve">FIDP-10</t>
  </si>
  <si>
    <t xml:space="preserve">FIDP-11</t>
  </si>
  <si>
    <t xml:space="preserve">HFIH-01</t>
  </si>
  <si>
    <t xml:space="preserve">HFIH-02</t>
  </si>
  <si>
    <t xml:space="preserve">HFIH-03</t>
  </si>
  <si>
    <t xml:space="preserve">HFIH-04</t>
  </si>
  <si>
    <t xml:space="preserve">VULN-01</t>
  </si>
  <si>
    <t xml:space="preserve">VULN-02</t>
  </si>
  <si>
    <t xml:space="preserve">VULN-03</t>
  </si>
  <si>
    <t xml:space="preserve">it is more than welcome and this is how QGIS is built</t>
  </si>
  <si>
    <t xml:space="preserve">VULN-04</t>
  </si>
  <si>
    <t xml:space="preserve">Yes. See https://fr.ntc.swiss/hubfs/ntc-test-report-qgis.pdf</t>
  </si>
  <si>
    <t xml:space="preserve">VULN-05</t>
  </si>
  <si>
    <t xml:space="preserve">Continuous integration</t>
  </si>
  <si>
    <t xml:space="preserve">VULN-06</t>
  </si>
  <si>
    <r>
      <rPr>
        <b val="true"/>
        <sz val="20"/>
        <color theme="0"/>
        <rFont val="Verdana"/>
        <family val="2"/>
        <charset val="1"/>
      </rPr>
      <t xml:space="preserve">HECVAT Solution Provider Response - </t>
    </r>
    <r>
      <rPr>
        <b val="true"/>
        <i val="true"/>
        <sz val="20"/>
        <color theme="0"/>
        <rFont val="Verdana"/>
        <family val="2"/>
        <charset val="1"/>
      </rPr>
      <t xml:space="preserve">IT Accessibility</t>
    </r>
  </si>
  <si>
    <t xml:space="preserve">ITAC-01</t>
  </si>
  <si>
    <t xml:space="preserve">QGIS US user group</t>
  </si>
  <si>
    <t xml:space="preserve">ITAC-02</t>
  </si>
  <si>
    <t xml:space="preserve">ITAC-03</t>
  </si>
  <si>
    <t xml:space="preserve">https://www.qgis-us.org/</t>
  </si>
  <si>
    <t xml:space="preserve">ITAC-04</t>
  </si>
  <si>
    <t xml:space="preserve">ITAC-05</t>
  </si>
  <si>
    <t xml:space="preserve">https://www.qgis-us.org/2025/09/12/vpat/</t>
  </si>
  <si>
    <t xml:space="preserve">ITAC-06</t>
  </si>
  <si>
    <t xml:space="preserve">April 18th 2025
https://www.qgis-us.org/2025/09/12/vpat/</t>
  </si>
  <si>
    <t xml:space="preserve">ITAC-07</t>
  </si>
  <si>
    <t xml:space="preserve">ITAC-08</t>
  </si>
  <si>
    <t xml:space="preserve">NO</t>
  </si>
  <si>
    <t xml:space="preserve">NA/ QGIS is a desktop application, not a web application. We rely mostly on Qt’s upstream accessibility feature. </t>
  </si>
  <si>
    <t xml:space="preserve">ITAC-09</t>
  </si>
  <si>
    <t xml:space="preserve">we have public bug tracker</t>
  </si>
  <si>
    <t xml:space="preserve">ITAC-10</t>
  </si>
  <si>
    <t xml:space="preserve">docs.qgis.org </t>
  </si>
  <si>
    <t xml:space="preserve">ITAC-11</t>
  </si>
  <si>
    <t xml:space="preserve">no</t>
  </si>
  <si>
    <t xml:space="preserve">NA/ QGIS is a desktop application. </t>
  </si>
  <si>
    <t xml:space="preserve">ITAC-12</t>
  </si>
  <si>
    <t xml:space="preserve">ITAC-13</t>
  </si>
  <si>
    <t xml:space="preserve">ITAC-14</t>
  </si>
  <si>
    <t xml:space="preserve">ITAC-15</t>
  </si>
  <si>
    <t xml:space="preserve">QGIS is user driven. Contributors contracts freely developpers with their requirements. QGIS review process include high quality standards. </t>
  </si>
  <si>
    <t xml:space="preserve">ITAC-16</t>
  </si>
  <si>
    <t xml:space="preserve">ITAC-17</t>
  </si>
  <si>
    <t xml:space="preserve">all shortcuts can be customized</t>
  </si>
  <si>
    <t xml:space="preserve">ITAC-18</t>
  </si>
  <si>
    <t xml:space="preserve">the GUI is fully costumizable. We have views for color vision deficiencies, and inherit from Qt’s accessibility features mostly</t>
  </si>
  <si>
    <r>
      <rPr>
        <b val="true"/>
        <sz val="20"/>
        <color theme="0"/>
        <rFont val="Verdana"/>
        <family val="2"/>
        <charset val="1"/>
      </rPr>
      <t xml:space="preserve">HECVAT Solution Provider Response - </t>
    </r>
    <r>
      <rPr>
        <b val="true"/>
        <i val="true"/>
        <sz val="20"/>
        <color theme="0"/>
        <rFont val="Verdana"/>
        <family val="2"/>
        <charset val="1"/>
      </rPr>
      <t xml:space="preserve">Case-Specific</t>
    </r>
    <r>
      <rPr>
        <b val="true"/>
        <sz val="20"/>
        <color theme="0"/>
        <rFont val="Verdana"/>
        <family val="2"/>
        <charset val="1"/>
      </rPr>
      <t xml:space="preserve"> </t>
    </r>
    <r>
      <rPr>
        <b val="true"/>
        <i val="true"/>
        <sz val="20"/>
        <color theme="0"/>
        <rFont val="Verdana"/>
        <family val="2"/>
        <charset val="1"/>
      </rPr>
      <t xml:space="preserve">Questions</t>
    </r>
  </si>
  <si>
    <t xml:space="preserve">CONS-01</t>
  </si>
  <si>
    <t xml:space="preserve">CONS-02</t>
  </si>
  <si>
    <t xml:space="preserve">CONS-03</t>
  </si>
  <si>
    <t xml:space="preserve">CONS-04</t>
  </si>
  <si>
    <t xml:space="preserve">CONS-05</t>
  </si>
  <si>
    <t xml:space="preserve">CONS-06</t>
  </si>
  <si>
    <t xml:space="preserve">CONS-07</t>
  </si>
  <si>
    <t xml:space="preserve">CONS-08</t>
  </si>
  <si>
    <t xml:space="preserve">CONS-09</t>
  </si>
  <si>
    <t xml:space="preserve">HIPA-01</t>
  </si>
  <si>
    <t xml:space="preserve">HIPA-02</t>
  </si>
  <si>
    <t xml:space="preserve">HIPA-03</t>
  </si>
  <si>
    <t xml:space="preserve">HIPA-04</t>
  </si>
  <si>
    <t xml:space="preserve">HIPA-05</t>
  </si>
  <si>
    <t xml:space="preserve">HIPA-06</t>
  </si>
  <si>
    <t xml:space="preserve">HIPA-07</t>
  </si>
  <si>
    <t xml:space="preserve">HIPA-08</t>
  </si>
  <si>
    <t xml:space="preserve">HIPA-09</t>
  </si>
  <si>
    <t xml:space="preserve">HIPA-10</t>
  </si>
  <si>
    <t xml:space="preserve">HIPA-11</t>
  </si>
  <si>
    <t xml:space="preserve">HIPA-12</t>
  </si>
  <si>
    <t xml:space="preserve">HIPA-13</t>
  </si>
  <si>
    <t xml:space="preserve">HIPA-14</t>
  </si>
  <si>
    <t xml:space="preserve">HIPA-15</t>
  </si>
  <si>
    <t xml:space="preserve">HIPA-16</t>
  </si>
  <si>
    <t xml:space="preserve">HIPA-17</t>
  </si>
  <si>
    <t xml:space="preserve">HIPA-18</t>
  </si>
  <si>
    <t xml:space="preserve">HIPA-19</t>
  </si>
  <si>
    <t xml:space="preserve">HIPA-20</t>
  </si>
  <si>
    <t xml:space="preserve">HIPA-21</t>
  </si>
  <si>
    <t xml:space="preserve">HIPA-22</t>
  </si>
  <si>
    <t xml:space="preserve">HIPA-23</t>
  </si>
  <si>
    <t xml:space="preserve">HIPA-24</t>
  </si>
  <si>
    <t xml:space="preserve">HIPA-25</t>
  </si>
  <si>
    <t xml:space="preserve">HIPA-26</t>
  </si>
  <si>
    <t xml:space="preserve">HIPA-27</t>
  </si>
  <si>
    <t xml:space="preserve">HIPA-28</t>
  </si>
  <si>
    <t xml:space="preserve">HIPA-29</t>
  </si>
  <si>
    <t xml:space="preserve">PCID-01</t>
  </si>
  <si>
    <t xml:space="preserve">PCID-02</t>
  </si>
  <si>
    <t xml:space="preserve">PCID-03</t>
  </si>
  <si>
    <t xml:space="preserve">PCID-04</t>
  </si>
  <si>
    <t xml:space="preserve">PCID-05</t>
  </si>
  <si>
    <t xml:space="preserve">PCID-06</t>
  </si>
  <si>
    <t xml:space="preserve">PCID-07</t>
  </si>
  <si>
    <t xml:space="preserve">PCID-08</t>
  </si>
  <si>
    <t xml:space="preserve">PCID-09</t>
  </si>
  <si>
    <t xml:space="preserve">PCID-10</t>
  </si>
  <si>
    <t xml:space="preserve">PCID-11</t>
  </si>
  <si>
    <t xml:space="preserve">PCID-12</t>
  </si>
  <si>
    <t xml:space="preserve">OPEM-01</t>
  </si>
  <si>
    <t xml:space="preserve">OPEM-02</t>
  </si>
  <si>
    <t xml:space="preserve">OPEM-03</t>
  </si>
  <si>
    <t xml:space="preserve">OPEM-04</t>
  </si>
  <si>
    <t xml:space="preserve">OPEM-05</t>
  </si>
  <si>
    <t xml:space="preserve">OPEM-06</t>
  </si>
  <si>
    <t xml:space="preserve">OPEM-07</t>
  </si>
  <si>
    <t xml:space="preserve">OPEM-08</t>
  </si>
  <si>
    <t xml:space="preserve">OPEM-09</t>
  </si>
  <si>
    <t xml:space="preserve">OPEM-10</t>
  </si>
  <si>
    <t xml:space="preserve">QGIS has users, not customers. Commercial service providers can have customers in any fields. No contract is need to use the software, beyonf accepting the terms of the GPL v2 licence. </t>
  </si>
  <si>
    <r>
      <rPr>
        <b val="true"/>
        <sz val="20"/>
        <color theme="0"/>
        <rFont val="Verdana"/>
        <family val="2"/>
        <charset val="1"/>
      </rPr>
      <t xml:space="preserve">HECVAT Solution Provider Response -</t>
    </r>
    <r>
      <rPr>
        <b val="true"/>
        <i val="true"/>
        <sz val="20"/>
        <color theme="0"/>
        <rFont val="Verdana"/>
        <family val="2"/>
        <charset val="1"/>
      </rPr>
      <t xml:space="preserve"> AI</t>
    </r>
  </si>
  <si>
    <t xml:space="preserve">AIQU-01</t>
  </si>
  <si>
    <t xml:space="preserve">AIQU-02</t>
  </si>
  <si>
    <t xml:space="preserve">AIGN-01</t>
  </si>
  <si>
    <t xml:space="preserve">AIGN-02</t>
  </si>
  <si>
    <t xml:space="preserve">AIGN-03</t>
  </si>
  <si>
    <t xml:space="preserve">AIGN-04</t>
  </si>
  <si>
    <t xml:space="preserve">AIGN-05</t>
  </si>
  <si>
    <t xml:space="preserve">AIPL-01</t>
  </si>
  <si>
    <t xml:space="preserve">AIPL-02</t>
  </si>
  <si>
    <t xml:space="preserve">AIPL-03</t>
  </si>
  <si>
    <t xml:space="preserve">AIPL-04</t>
  </si>
  <si>
    <t xml:space="preserve">AIPL-05</t>
  </si>
  <si>
    <t xml:space="preserve">AISC-01</t>
  </si>
  <si>
    <t xml:space="preserve">AISC-02</t>
  </si>
  <si>
    <t xml:space="preserve">AISC-03</t>
  </si>
  <si>
    <t xml:space="preserve">AISC-04</t>
  </si>
  <si>
    <t xml:space="preserve">AISC-05</t>
  </si>
  <si>
    <t xml:space="preserve">AIML-01</t>
  </si>
  <si>
    <t xml:space="preserve">AIML-02</t>
  </si>
  <si>
    <t xml:space="preserve">AIML-03</t>
  </si>
  <si>
    <t xml:space="preserve">AIML-04</t>
  </si>
  <si>
    <t xml:space="preserve">AIML-05</t>
  </si>
  <si>
    <t xml:space="preserve">AIML-06</t>
  </si>
  <si>
    <t xml:space="preserve">AIML-07</t>
  </si>
  <si>
    <t xml:space="preserve">AIML-08</t>
  </si>
  <si>
    <t xml:space="preserve">AILM-01</t>
  </si>
  <si>
    <t xml:space="preserve">AILM-02</t>
  </si>
  <si>
    <t xml:space="preserve">AILM-03</t>
  </si>
  <si>
    <t xml:space="preserve">AILM-04</t>
  </si>
  <si>
    <t xml:space="preserve">AILM-05</t>
  </si>
  <si>
    <t xml:space="preserve">AILM-06</t>
  </si>
  <si>
    <t xml:space="preserve">End of worksheet </t>
  </si>
  <si>
    <r>
      <rPr>
        <b val="true"/>
        <sz val="20"/>
        <color theme="0"/>
        <rFont val="Verdana"/>
        <family val="2"/>
        <charset val="1"/>
      </rPr>
      <t xml:space="preserve">HECVAT Solution Provider Response - </t>
    </r>
    <r>
      <rPr>
        <b val="true"/>
        <i val="true"/>
        <sz val="20"/>
        <color theme="0"/>
        <rFont val="Verdana"/>
        <family val="2"/>
        <charset val="1"/>
      </rPr>
      <t xml:space="preserve">Privacy</t>
    </r>
  </si>
  <si>
    <t xml:space="preserve">PRGN-01</t>
  </si>
  <si>
    <t xml:space="preserve">PRGN-02</t>
  </si>
  <si>
    <t xml:space="preserve">QGIS allow user to process data of any kind, but they are responsible of their data processing environment and constraints. 
QGIS.org website allows to push plugin extensions. We collect no user personal data and trafic analysis is fully anonymous using matomo, a GDPR compliant trafic analysis solution. ? </t>
  </si>
  <si>
    <t xml:space="preserve">PRGN-03</t>
  </si>
  <si>
    <t xml:space="preserve">PRGN-04</t>
  </si>
  <si>
    <t xml:space="preserve">any kind of data can be processed in a GIS</t>
  </si>
  <si>
    <t xml:space="preserve">PRGN-05</t>
  </si>
  <si>
    <t xml:space="preserve">PCOM-01</t>
  </si>
  <si>
    <t xml:space="preserve">PCOM-02</t>
  </si>
  <si>
    <t xml:space="preserve">QGIS does not store any data related to privacy. We even exclude collecting any telemetry to respect private life</t>
  </si>
  <si>
    <t xml:space="preserve">PCOM-03</t>
  </si>
  <si>
    <t xml:space="preserve">PCOM-04</t>
  </si>
  <si>
    <t xml:space="preserve">PDOC-01</t>
  </si>
  <si>
    <t xml:space="preserve">PDOC-02</t>
  </si>
  <si>
    <t xml:space="preserve">PDOC-03</t>
  </si>
  <si>
    <t xml:space="preserve">PTHP-01</t>
  </si>
  <si>
    <t xml:space="preserve">PTHP-02</t>
  </si>
  <si>
    <t xml:space="preserve">PCHG-01</t>
  </si>
  <si>
    <t xml:space="preserve">PCHG-02</t>
  </si>
  <si>
    <t xml:space="preserve">PDAT-01</t>
  </si>
  <si>
    <t xml:space="preserve">PDAT-02</t>
  </si>
  <si>
    <t xml:space="preserve">PDAT-03</t>
  </si>
  <si>
    <t xml:space="preserve">PDAT-04</t>
  </si>
  <si>
    <t xml:space="preserve">PDAT-05</t>
  </si>
  <si>
    <t xml:space="preserve">PDAT-06</t>
  </si>
  <si>
    <t xml:space="preserve">PDAT-07</t>
  </si>
  <si>
    <t xml:space="preserve">PDAT-08</t>
  </si>
  <si>
    <t xml:space="preserve">PRPO-01</t>
  </si>
  <si>
    <t xml:space="preserve">PRPO-02</t>
  </si>
  <si>
    <t xml:space="preserve">PRPO-03</t>
  </si>
  <si>
    <t xml:space="preserve">PRPO-04</t>
  </si>
  <si>
    <t xml:space="preserve">PRPO-05</t>
  </si>
  <si>
    <t xml:space="preserve">PRPO-06</t>
  </si>
  <si>
    <t xml:space="preserve">PRPO-07</t>
  </si>
  <si>
    <t xml:space="preserve">PRPO-08</t>
  </si>
  <si>
    <t xml:space="preserve">PRPO-09</t>
  </si>
  <si>
    <t xml:space="preserve">PRPO-10</t>
  </si>
  <si>
    <t xml:space="preserve">PRPO-11</t>
  </si>
  <si>
    <t xml:space="preserve">PRPO-12</t>
  </si>
  <si>
    <t xml:space="preserve">PRPO-13</t>
  </si>
  <si>
    <t xml:space="preserve">INTL-01</t>
  </si>
  <si>
    <t xml:space="preserve">We only collectt limited web server informations, like number of downloads and number of « news feed » opening. No information is stored that could allow to identify users or organisations.</t>
  </si>
  <si>
    <t xml:space="preserve">INTL-02</t>
  </si>
  <si>
    <t xml:space="preserve">There is no need as we don’t collect personal data. However PSC and QGIS chairman can be designated for this role.</t>
  </si>
  <si>
    <t xml:space="preserve">INTL-03</t>
  </si>
  <si>
    <t xml:space="preserve">No data is concerned, so there is no need for this.</t>
  </si>
  <si>
    <t xml:space="preserve">INTL-04</t>
  </si>
  <si>
    <t xml:space="preserve">INTL-05</t>
  </si>
  <si>
    <t xml:space="preserve">DRPV-01</t>
  </si>
  <si>
    <t xml:space="preserve">DRPV-02</t>
  </si>
  <si>
    <t xml:space="preserve">DRPV-03</t>
  </si>
  <si>
    <t xml:space="preserve">DRPV-04</t>
  </si>
  <si>
    <t xml:space="preserve">DRPV-05</t>
  </si>
  <si>
    <t xml:space="preserve">DRPV-06</t>
  </si>
  <si>
    <t xml:space="preserve">DRPV-07</t>
  </si>
  <si>
    <t xml:space="preserve">DRPV-08</t>
  </si>
  <si>
    <t xml:space="preserve">DRPV-09</t>
  </si>
  <si>
    <t xml:space="preserve">DRPV-10</t>
  </si>
  <si>
    <t xml:space="preserve">DRPV-11</t>
  </si>
  <si>
    <t xml:space="preserve">DRPV-12</t>
  </si>
  <si>
    <t xml:space="preserve">DRPV-13</t>
  </si>
  <si>
    <t xml:space="preserve">DRPV-14</t>
  </si>
  <si>
    <t xml:space="preserve">DRPV-15</t>
  </si>
  <si>
    <t xml:space="preserve">DPAI-01</t>
  </si>
  <si>
    <t xml:space="preserve">DPAI-02</t>
  </si>
  <si>
    <t xml:space="preserve">DPAI-03</t>
  </si>
  <si>
    <t xml:space="preserve">DPAI-04</t>
  </si>
  <si>
    <t xml:space="preserve">DPAI-05</t>
  </si>
  <si>
    <t xml:space="preserve">DPAI-06</t>
  </si>
  <si>
    <t xml:space="preserve">DPAI-07</t>
  </si>
  <si>
    <t xml:space="preserve">DPAI-08</t>
  </si>
  <si>
    <t xml:space="preserve">There are cells within this worksheet are auto populated from the previous worksheets and drop down lists. </t>
  </si>
  <si>
    <t xml:space="preserve">HECVAT™ Institution Evaluation</t>
  </si>
  <si>
    <t xml:space="preserve">Instructions for Analysts</t>
  </si>
  <si>
    <t xml:space="preserve">Date Prepared</t>
  </si>
  <si>
    <t xml:space="preserve">Cells A20 to A40 have intentionally been left blank.</t>
  </si>
  <si>
    <t xml:space="preserve">Report Sections</t>
  </si>
  <si>
    <t xml:space="preserve">Include in Score?</t>
  </si>
  <si>
    <t xml:space="preserve">Max Score</t>
  </si>
  <si>
    <t xml:space="preserve">Score</t>
  </si>
  <si>
    <t xml:space="preserve">Score %</t>
  </si>
  <si>
    <t xml:space="preserve">Jump To</t>
  </si>
  <si>
    <t xml:space="preserve">COMP</t>
  </si>
  <si>
    <t xml:space="preserve">DOCU</t>
  </si>
  <si>
    <t xml:space="preserve">THRD</t>
  </si>
  <si>
    <t xml:space="preserve">CHNG</t>
  </si>
  <si>
    <t xml:space="preserve">PPPR</t>
  </si>
  <si>
    <t xml:space="preserve">AAAI</t>
  </si>
  <si>
    <t xml:space="preserve">DATA</t>
  </si>
  <si>
    <t xml:space="preserve">APPL</t>
  </si>
  <si>
    <t xml:space="preserve">DCTR</t>
  </si>
  <si>
    <t xml:space="preserve">FIDP</t>
  </si>
  <si>
    <t xml:space="preserve">HFIH</t>
  </si>
  <si>
    <t xml:space="preserve">VULN</t>
  </si>
  <si>
    <t xml:space="preserve">CONS</t>
  </si>
  <si>
    <t xml:space="preserve">HIPA</t>
  </si>
  <si>
    <t xml:space="preserve">PCID</t>
  </si>
  <si>
    <t xml:space="preserve">OPEM</t>
  </si>
  <si>
    <t xml:space="preserve">ITAC</t>
  </si>
  <si>
    <r>
      <rPr>
        <sz val="11"/>
        <color rgb="FF000000"/>
        <rFont val="Verdana"/>
        <family val="2"/>
        <charset val="1"/>
      </rPr>
      <t xml:space="preserve">AI </t>
    </r>
    <r>
      <rPr>
        <i val="true"/>
        <sz val="11"/>
        <color rgb="FF000000"/>
        <rFont val="Verdana"/>
        <family val="2"/>
        <charset val="1"/>
      </rPr>
      <t xml:space="preserve">(aggregated)</t>
    </r>
  </si>
  <si>
    <r>
      <rPr>
        <sz val="11"/>
        <color rgb="FF000000"/>
        <rFont val="Verdana"/>
        <family val="2"/>
        <charset val="1"/>
      </rPr>
      <t xml:space="preserve">Privacy </t>
    </r>
    <r>
      <rPr>
        <i val="true"/>
        <sz val="11"/>
        <color rgb="FF000000"/>
        <rFont val="Verdana"/>
        <family val="2"/>
        <charset val="1"/>
      </rPr>
      <t xml:space="preserve">(aggregated)</t>
    </r>
  </si>
  <si>
    <t xml:space="preserve">Overall Score</t>
  </si>
  <si>
    <t xml:space="preserve"> </t>
  </si>
  <si>
    <t xml:space="preserve">HECVAT Analyst Report</t>
  </si>
  <si>
    <t xml:space="preserve">Institution Assessment</t>
  </si>
  <si>
    <t xml:space="preserve">Analysts: Use columns G and I to override the response compliance and importance level.</t>
  </si>
  <si>
    <t xml:space="preserve">ID</t>
  </si>
  <si>
    <t xml:space="preserve">Question</t>
  </si>
  <si>
    <t xml:space="preserve">(Will reflect across applicable tabs)</t>
  </si>
  <si>
    <t xml:space="preserve">Compliant Response</t>
  </si>
  <si>
    <t xml:space="preserve">Compliant Override</t>
  </si>
  <si>
    <t xml:space="preserve">Default Importance</t>
  </si>
  <si>
    <t xml:space="preserve">Importance Override</t>
  </si>
  <si>
    <t xml:space="preserve">Non-Negotiable?</t>
  </si>
  <si>
    <t xml:space="preserve">Back to Scorecard</t>
  </si>
  <si>
    <t xml:space="preserve">There are cells within this worksheet are auto populated from multiple worksheets in the workbook, and drop down lists. </t>
  </si>
  <si>
    <t xml:space="preserve">HECVAT Institution Evaluation - High Risk</t>
  </si>
  <si>
    <t xml:space="preserve">Instructions for High-Risk Scorecard</t>
  </si>
  <si>
    <t xml:space="preserve">4. For instructions on how to do a "HECVAT Lite" evaluation, please visit educause.edu/HECVAT. </t>
  </si>
  <si>
    <t xml:space="preserve">There are cells within this worksheet are auto populated from the HECVAT - Full | Vendor Response worksheet and drop down lists. </t>
  </si>
  <si>
    <t xml:space="preserve">Question Count</t>
  </si>
  <si>
    <t xml:space="preserve">Non-Negotiable</t>
  </si>
  <si>
    <t xml:space="preserve">Critical Importance/Lite Score</t>
  </si>
  <si>
    <t xml:space="preserve">Critical Importance Questions (Lite Review Questions)</t>
  </si>
  <si>
    <t xml:space="preserve">Non-Negotiable Questions</t>
  </si>
  <si>
    <t xml:space="preserve">Code</t>
  </si>
  <si>
    <t xml:space="preserve">HECVAT Institution Evaluation - Privacy</t>
  </si>
  <si>
    <t xml:space="preserve">PRGN</t>
  </si>
  <si>
    <t xml:space="preserve">PCOM</t>
  </si>
  <si>
    <t xml:space="preserve">PDOC</t>
  </si>
  <si>
    <t xml:space="preserve">PTHP</t>
  </si>
  <si>
    <t xml:space="preserve">PCHG</t>
  </si>
  <si>
    <t xml:space="preserve">PDAT</t>
  </si>
  <si>
    <t xml:space="preserve">PRPO</t>
  </si>
  <si>
    <t xml:space="preserve">INTL</t>
  </si>
  <si>
    <t xml:space="preserve">DRPV</t>
  </si>
  <si>
    <t xml:space="preserve">DPAI</t>
  </si>
  <si>
    <t xml:space="preserve">Privacy Score</t>
  </si>
  <si>
    <t xml:space="preserve">HECVAT Analyst Report - Privacy</t>
  </si>
  <si>
    <t xml:space="preserve">Vendor Answer</t>
  </si>
  <si>
    <r>
      <rPr>
        <b val="true"/>
        <sz val="14"/>
        <color theme="0"/>
        <rFont val="Verdana"/>
        <family val="2"/>
        <charset val="1"/>
      </rPr>
      <t xml:space="preserve">PRIVACY REFERENCE QUESTIONS </t>
    </r>
    <r>
      <rPr>
        <b val="true"/>
        <i val="true"/>
        <sz val="14"/>
        <color theme="0"/>
        <rFont val="Verdana"/>
        <family val="2"/>
        <charset val="1"/>
      </rPr>
      <t xml:space="preserve">-these fields cannot be edited and must be changed on the "Institution Evaluation" tab.</t>
    </r>
  </si>
  <si>
    <t xml:space="preserve">The cells within this worksheet contain questions, the reason for the question, and follow-up inquiries/responses </t>
  </si>
  <si>
    <t xml:space="preserve">HECVAT Analyst Reference</t>
  </si>
  <si>
    <t xml:space="preserve">Connect with your higher education peers by joining the EDUCAUSE HECVAT Users Community Group</t>
  </si>
  <si>
    <t xml:space="preserve">You can find full tutorials on the HECVAT at educause.edu/HECVAT</t>
  </si>
  <si>
    <t xml:space="preserve">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</si>
  <si>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</si>
  <si>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 xml:space="preserve">End Table Data </t>
  </si>
  <si>
    <t xml:space="preserve">Required Questions indicate to the solution provider which questions apply to their product or service. </t>
  </si>
  <si>
    <t xml:space="preserve">The answer to this question indicates if the "Product" and "Infrastructure" tabs are required</t>
  </si>
  <si>
    <t xml:space="preserve">The answer to this question indicates if the "IT Accessibility" questions are required</t>
  </si>
  <si>
    <t xml:space="preserve">The answer to this question indicates if the "Consulting" questions are required</t>
  </si>
  <si>
    <t xml:space="preserve">The answer to this question indicates if the "AI" questions are required</t>
  </si>
  <si>
    <t xml:space="preserve">The answer to this question indicates if the "HIPAA" questions are required</t>
  </si>
  <si>
    <t xml:space="preserve">The answer to this question indicates if the "PCI DSS" questions are required</t>
  </si>
  <si>
    <t xml:space="preserve">The answer to this question indicates if the "On-Premises Data Solutions" questions are required</t>
  </si>
  <si>
    <t xml:space="preserve">This worksheet is a combination of cells that are autopopulated as well as ones to be filled in. </t>
  </si>
  <si>
    <t xml:space="preserve">New ID</t>
  </si>
  <si>
    <t xml:space="preserve">Start</t>
  </si>
  <si>
    <t xml:space="preserve">Org</t>
  </si>
  <si>
    <t xml:space="preserve">Product</t>
  </si>
  <si>
    <t xml:space="preserve">Infra</t>
  </si>
  <si>
    <t xml:space="preserve">Access</t>
  </si>
  <si>
    <t xml:space="preserve">Case</t>
  </si>
  <si>
    <t xml:space="preserve">AI</t>
  </si>
  <si>
    <t xml:space="preserve">Privacy</t>
  </si>
  <si>
    <t xml:space="preserve">Score Mapping</t>
  </si>
  <si>
    <t xml:space="preserve">Score Location</t>
  </si>
  <si>
    <t xml:space="preserve">Additional Info</t>
  </si>
  <si>
    <t xml:space="preserve">If/then</t>
  </si>
  <si>
    <t xml:space="preserve">Standard Guidance</t>
  </si>
  <si>
    <t xml:space="preserve">No Guidance</t>
  </si>
  <si>
    <t xml:space="preserve">Yes Guidance</t>
  </si>
  <si>
    <t xml:space="preserve">N/A Guidance</t>
  </si>
  <si>
    <t xml:space="preserve">Reason for Question</t>
  </si>
  <si>
    <t xml:space="preserve">Follow-Up Inquiries/Responses</t>
  </si>
  <si>
    <t xml:space="preserve">Compliant</t>
  </si>
  <si>
    <t xml:space="preserve">Default Weight</t>
  </si>
  <si>
    <t xml:space="preserve">Solution Provider Name</t>
  </si>
  <si>
    <t xml:space="preserve">Not Scored</t>
  </si>
  <si>
    <t xml:space="preserve">Not scored</t>
  </si>
  <si>
    <t xml:space="preserve">Solution Name</t>
  </si>
  <si>
    <t xml:space="preserve">0</t>
  </si>
  <si>
    <t xml:space="preserve">Solution Description</t>
  </si>
  <si>
    <t xml:space="preserve">Solution Provider Contact Name</t>
  </si>
  <si>
    <t xml:space="preserve">Solution Provider Contact Title</t>
  </si>
  <si>
    <t xml:space="preserve">Solution Provider Contact Email</t>
  </si>
  <si>
    <t xml:space="preserve">Solution Provider Contact Phone Number</t>
  </si>
  <si>
    <t xml:space="preserve">Country of Company Headquarters</t>
  </si>
  <si>
    <t xml:space="preserve">Employee Work Locations (all)</t>
  </si>
  <si>
    <t xml:space="preserve">Determines where solution provider employees will be physically located.</t>
  </si>
  <si>
    <t xml:space="preserve">Follow-up inquiries will be institution/implementation specific.</t>
  </si>
  <si>
    <t xml:space="preserve">Do you have a dedicated software and system development team(s) (e.g., customer support, implementation, product management, etc.)?*</t>
  </si>
  <si>
    <t xml:space="preserve">Start Here</t>
  </si>
  <si>
    <t xml:space="preserve">Describe any plans to create a dedicated software and system development team.</t>
  </si>
  <si>
    <t xml:space="preserve">Describe the structure and size of your software and system development teams. (e.g., customer support, implementation, product management, etc.).</t>
  </si>
  <si>
    <t xml:space="preserve">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</si>
  <si>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 xml:space="preserve">Follow-up inquiries for solution provider team strategies will be unique to your institution and may depend on the underlying infrastructures needed to support a system for your specific use case.</t>
  </si>
  <si>
    <t xml:space="preserve">Critical Importance</t>
  </si>
  <si>
    <t xml:space="preserve">Describe your organization’s business background and ownership structure, including all parent and subsidiary relationships.</t>
  </si>
  <si>
    <t xml:space="preserve">Include circumstances that may involve offshoring or multinational agreements.</t>
  </si>
  <si>
    <t xml:space="preserve">This information defines the scale of company (support, resources, skillsets), general information about the organization that may be concerning.</t>
  </si>
  <si>
    <t xml:space="preserve">Follow-up responses to this one are normally unique to their response. Vague answers here usually result in some footprinting of a solution provider to determine their "reputation."</t>
  </si>
  <si>
    <t xml:space="preserve">Have you operated without unplanned disruptions to this solution in the past 12 months?</t>
  </si>
  <si>
    <t xml:space="preserve">Provide a detailed summary of the unplanned disruption.</t>
  </si>
  <si>
    <t xml:space="preserve">We want transparency from the solution provider, and an honest answer to this question, regardless of the response, is a good step in building trust.</t>
  </si>
  <si>
    <t xml:space="preserve">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</si>
  <si>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 xml:space="preserve">Minor Importance</t>
  </si>
  <si>
    <t xml:space="preserve">Do you have a dedicated information security staff or office?</t>
  </si>
  <si>
    <t xml:space="preserve">Describe any plans to create an information security office for your organization.</t>
  </si>
  <si>
    <t xml:space="preserve">Describe your information security office, including size, talents, resources, etc.</t>
  </si>
  <si>
    <t xml:space="preserve">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</si>
  <si>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 xml:space="preserve">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</si>
  <si>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 xml:space="preserve">Use this area to share information about your environment that will assist those who are assessing your company's data security program.</t>
  </si>
  <si>
    <t xml:space="preserve">Share any details that would help information security analysts assess your solution.</t>
  </si>
  <si>
    <t xml:space="preserve">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</si>
  <si>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 xml:space="preserve">This is a freebie to help the solution provider state their case. If a solution provider does not add anything here (or it is just sales stuff), we can assume it was filled out by a sales engineer and questions will be evaluated with higher scrutiny.</t>
  </si>
  <si>
    <t xml:space="preserve">Are you offering a cloud-based product?</t>
  </si>
  <si>
    <t xml:space="preserve">If you are only offering a service, or are offering a product that is not cloud-based, answer "no".</t>
  </si>
  <si>
    <t xml:space="preserve">DO NOT complete the Product and Infrastructure worksheets</t>
  </si>
  <si>
    <t xml:space="preserve">DO complete the Product and Infrastructure worksheets</t>
  </si>
  <si>
    <t xml:space="preserve">Does your product or service have an interface?</t>
  </si>
  <si>
    <t xml:space="preserve">This includes any interface for end users and interfaces used by administrators at the institution.</t>
  </si>
  <si>
    <t xml:space="preserve">DO NOT complete the IT Accessibility worksheet.</t>
  </si>
  <si>
    <t xml:space="preserve">DO complete the IT Accessibility worksheet.</t>
  </si>
  <si>
    <t xml:space="preserve">Are you providing consulting services?</t>
  </si>
  <si>
    <t xml:space="preserve">DO NOT complete the Consulting section in the Case-Specific worksheet</t>
  </si>
  <si>
    <t xml:space="preserve">DO complete the Consulting section in the Case-Specific worksheet</t>
  </si>
  <si>
    <t xml:space="preserve">Does your solution have AI features, or are there plans to implement AI features in the next 12 months?</t>
  </si>
  <si>
    <t xml:space="preserve">DO NOT complete the Artificial Intelligence (AI) worksheet</t>
  </si>
  <si>
    <t xml:space="preserve">DO complete the Artificial Intelligence (AI) worksheet</t>
  </si>
  <si>
    <t xml:space="preserve">Does your solution process protected health information (PHI) or any data covered by the Health Insurance Portability and Accountability Act (HIPAA)?</t>
  </si>
  <si>
    <t xml:space="preserve">Answer "yes" if your solution handles personal health information (PHI), either directly or via a third party.</t>
  </si>
  <si>
    <t xml:space="preserve">DO NOT complete the HIPAA section in the Case-Specific worksheet</t>
  </si>
  <si>
    <t xml:space="preserve">DO complete the HIPAA section in the Case-Specific worksheet</t>
  </si>
  <si>
    <t xml:space="preserve">Is the solution designed to process, store, or transmit credit card information?</t>
  </si>
  <si>
    <t xml:space="preserve">Answer yes if your solution handles PCI (credit card) information, either directly or via a third party.</t>
  </si>
  <si>
    <t xml:space="preserve">DO NOT complete the PCI-DSS section in the Case-Specific worksheet</t>
  </si>
  <si>
    <t xml:space="preserve">DO complete the PCI-DSS section in the Case-Specific worksheet</t>
  </si>
  <si>
    <t xml:space="preserve">Does operating your solution require the institution to operate a physical or virtual appliance in their own environment or to provide inbound firewall exceptions to allow your employees to remotely administer systems in the institution's environment?</t>
  </si>
  <si>
    <t xml:space="preserve">DO NOT complete the On-Prem section in the Case-Specific worksheet</t>
  </si>
  <si>
    <t xml:space="preserve">DO complete the On-Prem section in the Case-Specific worksheet</t>
  </si>
  <si>
    <t xml:space="preserve">Does your solution have access to personal or institutional data?</t>
  </si>
  <si>
    <t xml:space="preserve">This includes patient data, student data, employment data, human research data, financial data, etc.</t>
  </si>
  <si>
    <t xml:space="preserve">DO NOT complete the Privacy tab</t>
  </si>
  <si>
    <t xml:space="preserve">DO complete the Privacy tab</t>
  </si>
  <si>
    <r>
      <rPr>
        <sz val="11"/>
        <color rgb="FF000000"/>
        <rFont val="Arial"/>
        <family val="2"/>
        <charset val="1"/>
      </rPr>
      <t xml:space="preserve">Do you have a well-documented business continuity plan (BCP), with a clear owner, that is tested annually?</t>
    </r>
    <r>
      <rPr>
        <sz val="11"/>
        <color rgb="FFFF0000"/>
        <rFont val="Arial"/>
        <family val="2"/>
        <charset val="1"/>
      </rPr>
      <t xml:space="preserve">*</t>
    </r>
  </si>
  <si>
    <t xml:space="preserve">Organization</t>
  </si>
  <si>
    <t xml:space="preserve">Do you have a well-documented disaster recovery plan (DRP), with a clear owner, that is tested annually?*</t>
  </si>
  <si>
    <t xml:space="preserve">Have you undergone a SSAE 18/SOC 2 audit?</t>
  </si>
  <si>
    <t xml:space="preserve">Describe any plans to undergo a SSAE 18 audit.</t>
  </si>
  <si>
    <t xml:space="preserve">Provide the date of assessment and include a SOC 2 Type 2 (preferred) or SOC 3 report. If you have a SOC 3 report, state how to obtain a copy. Indicate if your hosting provider was the subject of the audit.</t>
  </si>
  <si>
    <t xml:space="preserve">SSAE 18 and SOC2 audits are standard documentation, relevant to institutions requiring a solution provider to undergo SSAE 18 audits.</t>
  </si>
  <si>
    <t xml:space="preserve">Follow-up inquiries for SSAE 18 content will be institution/implementation specific.</t>
  </si>
  <si>
    <t xml:space="preserve">Standard Importance</t>
  </si>
  <si>
    <t xml:space="preserve">Do you conform with a specific industry standard security framework (e.g., NIST Cybersecurity Framework, CIS Controls, ISO 27001, etc.)?</t>
  </si>
  <si>
    <t xml:space="preserve">Describe any plans to conform to an industry standard security framework.</t>
  </si>
  <si>
    <t xml:space="preserve">Provide documentation on how your organization conforms to your chosen framework and indicate current certification levels, where appropriate.</t>
  </si>
  <si>
    <t xml:space="preserve">The details of the standard are not the focus here; it is the fact that a solution provider builds their environment around a standard and that they continually evaluate and assess their security programs.</t>
  </si>
  <si>
    <t xml:space="preserve">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</si>
  <si>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 xml:space="preserve">Can you provide overall system and/or application architecture diagrams, including a full description of the data flow for all components of the system?</t>
  </si>
  <si>
    <t xml:space="preserve">Provide a detailed summary of overall system and/or application architecture.</t>
  </si>
  <si>
    <t xml:space="preserve">Provide your diagrams (or a valid link to it) upon submission.</t>
  </si>
  <si>
    <t xml:space="preserve">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</si>
  <si>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 xml:space="preserve">Inquire about any privacy language the solution provider may have. It may not be ideal but there may be something available to assess or enough to have your legal counsel or policy/privacy professionals review.</t>
  </si>
  <si>
    <t xml:space="preserve">Does your organization have a data privacy policy?</t>
  </si>
  <si>
    <t xml:space="preserve">Describe your plans to create a data privacy policy.</t>
  </si>
  <si>
    <t xml:space="preserve">Provide your data privacy document (or a valid link to it) upon submission.</t>
  </si>
  <si>
    <t xml:space="preserve">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</si>
  <si>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 xml:space="preserve">Do you have a documented, and currently implemented, employee onboarding and offboarding policy?</t>
  </si>
  <si>
    <t xml:space="preserve">Briefly summarize your response.</t>
  </si>
  <si>
    <t xml:space="preserve">Provide a reference to your employee onboarding and offboarding policy and supporting documentation or submit it along with this fully populated HECVAT.</t>
  </si>
  <si>
    <t xml:space="preserve">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</si>
  <si>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 xml:space="preserve">Unsatisfactory answers should be met with questions about access control authority, roles and responsibilities (of access grantors), administrative privileges within the solution provider's infrastructure(s), etc.</t>
  </si>
  <si>
    <t xml:space="preserve">Solution Provider Accessibility Contact Name</t>
  </si>
  <si>
    <t xml:space="preserve">If REQU-02 is no, populate solution provider answer with cell b3 in Auto Responses worksheet</t>
  </si>
  <si>
    <t xml:space="preserve">Solution Provider Accessibility Contact Title</t>
  </si>
  <si>
    <t xml:space="preserve">Solution Provider Accessibility Contact Email</t>
  </si>
  <si>
    <t xml:space="preserve">Solution Provider Accessibility Contact Phone Number</t>
  </si>
  <si>
    <t xml:space="preserve">Web Link to Accessibility Statement or VPAT</t>
  </si>
  <si>
    <t xml:space="preserve">VPAT can also be added as an attachment</t>
  </si>
  <si>
    <t xml:space="preserve">Has a VPAT or ACR been created or updated for the solution and version under consideration within the past 12 months?*</t>
  </si>
  <si>
    <t xml:space="preserve">IT Accessibility</t>
  </si>
  <si>
    <t xml:space="preserve">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</si>
  <si>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 xml:space="preserve">Please state your plans (when and by whom) to complete a VPAT.</t>
  </si>
  <si>
    <t xml:space="preserve">State the date the VPAT was completed. Include this VPAT in your submission and/or link to its web location.</t>
  </si>
  <si>
    <t xml:space="preserve">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</si>
  <si>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Cross-reference Accessibility Conformance Reports (ACR) with any answers from ITAC-14 about product roadmaps for accessibility improvements.</t>
  </si>
  <si>
    <t xml:space="preserve">Will your company agree to meet your stated accessibility standard or WCAG 2.1 AA as part of your contractual agreement for the solution?*</t>
  </si>
  <si>
    <t xml:space="preserve">Federal regulation requires that technology products conform to WCAG 2.1 AA. Technology platforms that do not substantially conform to this standard put schools at risk of not complying with these requirements. </t>
  </si>
  <si>
    <t xml:space="preserve">Does the solution substantially conform to WCAG 2.1 AA?*</t>
  </si>
  <si>
    <t xml:space="preserve">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</si>
  <si>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 xml:space="preserve">Do you have a documented and implemented process for reporting and tracking accessibility issues?*</t>
  </si>
  <si>
    <t xml:space="preserve">Reporting and fixing accessibility issues is critical to a mature process. If the process for this question is merely a "feature request" and tracker, the answer to this question should be "no." </t>
  </si>
  <si>
    <t xml:space="preserve">State how users should report accessibility issues. Describe any expected related process updates.</t>
  </si>
  <si>
    <t xml:space="preserve">Describe the process and any recent examples of fixes as a result of the process.</t>
  </si>
  <si>
    <t xml:space="preserve">What is the prioritization of accessibility issues received, and how are they tracked? Is there a regular cadence for tracking and addressing accessibility barriers?</t>
  </si>
  <si>
    <t xml:space="preserve">Do you have documentation to support the accessibility features of your solution?</t>
  </si>
  <si>
    <t xml:space="preserve">If specific configurations, settings, themes, author guides, or instructions are needed to ensure accessibility, are instructions on how to do so provided for administrators and end users?</t>
  </si>
  <si>
    <t xml:space="preserve">Provide plans for any documentation that would make accessible content, features, and functions easily knowable by end users.</t>
  </si>
  <si>
    <t xml:space="preserve">Provide examples with links where possible.</t>
  </si>
  <si>
    <t xml:space="preserve">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</si>
  <si>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 xml:space="preserve">If claims are made about accessibility and there is no supporting documentation on how they can be achieved, ensure that intended configurations and uses of the product in question were assessed for any accessibility documentation or claims.</t>
  </si>
  <si>
    <t xml:space="preserve">Has a third-party expert conducted an audit of the most recent version of your solution?</t>
  </si>
  <si>
    <t xml:space="preserve">Audit results, including VPAT/ACRs, are voluntary reports often generated by the creator of the product. Audits conducted and reports generated by expert third parties give greater confidence to customers.</t>
  </si>
  <si>
    <t xml:space="preserve">Please provide plans (when and by whom) of any planned audit, or a rationale if no third-party audit is planned.</t>
  </si>
  <si>
    <t xml:space="preserve">State when the audit was conducted and by whom. Include the results in your submission and/or link to its web location.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</si>
  <si>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</si>
  <si>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 xml:space="preserve">Do you have a documented and implemented process for verifying accessibility conformance?</t>
  </si>
  <si>
    <t xml:space="preserve">Summarize how you ensure accessible solutions. Provide plans to develop documented processes to validate accessibility.</t>
  </si>
  <si>
    <t xml:space="preserve">Describe your processes and methodologies for validating accessibility conformance.</t>
  </si>
  <si>
    <t xml:space="preserve">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</si>
  <si>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 xml:space="preserve">Have you adopted a technical or legal standard of conformance for the solution?</t>
  </si>
  <si>
    <t xml:space="preserve">Various federal and state governments in the United States and around the world have mandated accessibility technical requirements that should be considered and may be required when selling solutions to institutions in these jurisdictions.</t>
  </si>
  <si>
    <t xml:space="preserve">Summarize your decision to not adopt a technical or legal standard of conformance for the solution.</t>
  </si>
  <si>
    <t xml:space="preserve">Indicate which primary standards and all additional standards the solution meets.</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</si>
  <si>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</si>
  <si>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 xml:space="preserve">Can you provide a current, detailed accessibility roadmap with delivery timelines?</t>
  </si>
  <si>
    <t xml:space="preserve">A detailed accessibility roadmap should reference improvements and progress on known accessibility issues as appropriate but does not necessarily need to list unreleased product features.</t>
  </si>
  <si>
    <t xml:space="preserve">Please provide any plans to develop and share an accessibility roadmap in the future.</t>
  </si>
  <si>
    <t xml:space="preserve">Comment on how far into the future the roadmap extends. Provide evidence (including links) of having delivered upon the accessibility roadmap in the past.</t>
  </si>
  <si>
    <t xml:space="preserve">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</si>
  <si>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 xml:space="preserve">If no roadmap is available, seek additional information from the solution provider such as release notes that address accessibility and any feedback from users that address the accessibility of the solution.</t>
  </si>
  <si>
    <t xml:space="preserve">Do you expect your staff to maintain a current skill set in IT accessibility?</t>
  </si>
  <si>
    <t xml:space="preserve">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</si>
  <si>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 xml:space="preserve">Describe any plans to ensure appropriate and ongoing staff knowledge about accessibility.</t>
  </si>
  <si>
    <t xml:space="preserve">Provide any further relevant information about how expertise is maintained; include any accessibility certifications staff may hold (e.g., IAAP WAS &lt;https://www.accessibilityassociation.org/certifications&gt; or DHS Trusted Tester &lt;https://section508.gov/test/trusted-tester&gt;).</t>
  </si>
  <si>
    <t xml:space="preserve">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</si>
  <si>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 xml:space="preserve">Do you have documented processes and procedures for implementing accessibility into your development lifecycle?</t>
  </si>
  <si>
    <t xml:space="preserve">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</si>
  <si>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 xml:space="preserve">Describe any plans to update processes and procedures to better incorporate accessibility.</t>
  </si>
  <si>
    <t xml:space="preserve">Provide further details in Additional Information.</t>
  </si>
  <si>
    <t xml:space="preserve">This question is designed to understand how accessibility is included in new versions and features of solutions, particularly with solution providers that implement Agile or similar methodologies where software is updated frequently and continuously.</t>
  </si>
  <si>
    <t xml:space="preserve">Can all functions of the application or service be performed using only the keyboard?</t>
  </si>
  <si>
    <t xml:space="preserve">Indicate a plan to test the solution; develop a roadmap for keyboard accessibility or any further context.</t>
  </si>
  <si>
    <t xml:space="preserve">State when and on which platform this was verified.</t>
  </si>
  <si>
    <t xml:space="preserve">One critical accessibility requirement is the full use of a product using only the keyboard, -no mouse or trackpad. This requirement is easy for a nontechnical or non-accessibility expert to understand and verify.</t>
  </si>
  <si>
    <t xml:space="preserve">To confirm keyboard-only claims, follow the how-to at Minimum Expectations for applications webpage &lt;https://go.iu.edu/minimum-expectations&gt; from Indiana University or reference WebAIM’s Keyboard Testing guidance &lt;https://webaim.org/techniques/keyboard/#testing&gt;.</t>
  </si>
  <si>
    <t xml:space="preserve">Does your product rely on activating a special "accessibility mode," a "lite version," or using an alternate interface (including “overlay” or AI-based alternates)  for accessibility purposes?</t>
  </si>
  <si>
    <t xml:space="preserve">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</si>
  <si>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 xml:space="preserve">Describe any feature differences between standard and accessible modes, along with any timelines or plans to merge products into a universally designed platform.</t>
  </si>
  <si>
    <t xml:space="preserve">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</si>
  <si>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 xml:space="preserve">Do you perform security assessments of third-party companies with which you share data (e.g., hosting providers, cloud services, PaaS, IaaS, SaaS)?*</t>
  </si>
  <si>
    <t xml:space="preserve">State your plans to perform security assessments of third-party companies.</t>
  </si>
  <si>
    <t xml:space="preserve">Provide a summary of your practices that assures that the third party will be subject to the appropriate standards regarding security, service recoverability, and confidentiality.</t>
  </si>
  <si>
    <t xml:space="preserve">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</si>
  <si>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 xml:space="preserve">Follow up with a robust question set if the solution provider cannot clearly state full control of the integrity of their system(s). Questions about administrator access on end-user devices and other maintenance and patching type questions are appropriate.</t>
  </si>
  <si>
    <t xml:space="preserve">Do you have contractual language in place with third parties governing access to institutional data?*</t>
  </si>
  <si>
    <t xml:space="preserve">List each third party and why institutional data is shared with them. Format example: [Third Party Name] - Reason</t>
  </si>
  <si>
    <t xml:space="preserve">The sharing of institutional data to fourth-parties may increase the risk to the institutation and thus, we want to know who gets what data, when they get that data, and why they get that data.</t>
  </si>
  <si>
    <t xml:space="preserve">Follow-up inquiries concerning third-party data sharing will be institution/implementation specific.</t>
  </si>
  <si>
    <t xml:space="preserve">Do the contracts in place with these third parties address liability in the event of a data breach?*</t>
  </si>
  <si>
    <t xml:space="preserve">Knowing the protections and legal agreements in place for third-party data sharing may assist analysts in determininng residual risk.</t>
  </si>
  <si>
    <t xml:space="preserve">Follow-up inquiries concerning legal agreements with third parties will be institution/implementation specific.</t>
  </si>
  <si>
    <t xml:space="preserve">Do you have an implemented third-party management strategy?*</t>
  </si>
  <si>
    <t xml:space="preserve">Robust answers from the solution provider improve the quality and efficiency of the security assessment process.</t>
  </si>
  <si>
    <t xml:space="preserve">State your plans to implement a third-party management strategy.</t>
  </si>
  <si>
    <t xml:space="preserve">Provide additional information that may help analysts better understand your environment and how it relates to third-party solutions.</t>
  </si>
  <si>
    <t xml:space="preserve">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</si>
  <si>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 xml:space="preserve">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</si>
  <si>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 xml:space="preserve">Do you have a process and implemented procedures for managing your hardware supply chain (e.g., telecommunications equipment, export licensing, computing devices)?</t>
  </si>
  <si>
    <t xml:space="preserve">Make sure you address any national or regional regulations.</t>
  </si>
  <si>
    <t xml:space="preserve">State your plans to create a process and implemented procedures for managing your hardware supply chain.</t>
  </si>
  <si>
    <t xml:space="preserve">State what countries and/or regions this process is compliant with.</t>
  </si>
  <si>
    <t xml:space="preserve">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</si>
  <si>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 xml:space="preserve">Follow-up inquiries concerning hardware supply chain will be institution/implementation specific.</t>
  </si>
  <si>
    <t xml:space="preserve">Will the consultant require access to the institution's network resources?*</t>
  </si>
  <si>
    <t xml:space="preserve">Case-Specific</t>
  </si>
  <si>
    <t xml:space="preserve">If REQU-03 is no, populate solution provider answer with b4 in Auto Responses tab</t>
  </si>
  <si>
    <t xml:space="preserve">Consultants are often used to implement, maintain, fix, and assess technology environments. In these cases, third-party consultants have access to institutional data, and appropriate access, whether remote or onsite, must be protected during the consulting engagement.</t>
  </si>
  <si>
    <t xml:space="preserve">Has the consultant received training on (sensitive, HIPAA, PCI, etc.) data handling?*</t>
  </si>
  <si>
    <t xml:space="preserve">Is the data encrypted (at rest) while in the consultant's possession?*</t>
  </si>
  <si>
    <t xml:space="preserve">Please explain why this does not apply to your product or service.</t>
  </si>
  <si>
    <t xml:space="preserve">Can access be restricted based on source IP address?*</t>
  </si>
  <si>
    <t xml:space="preserve">Will the consulting take place on-premises?</t>
  </si>
  <si>
    <t xml:space="preserve">Will the consultant require access to hardware in the institution's data centers?</t>
  </si>
  <si>
    <t xml:space="preserve">Will the consultant require an account within the institution's domain (@*.edu)?</t>
  </si>
  <si>
    <t xml:space="preserve">Will any data be transferred to the consultant's possession?</t>
  </si>
  <si>
    <t xml:space="preserve">Will the consultant need remote access to the institution's network or systems?</t>
  </si>
  <si>
    <t xml:space="preserve">Are access controls for institutional accounts based on structured rules, such as role-based access control (RBAC), attribute-based access control (ABAC), or policy-based access control (PBAC)?*</t>
  </si>
  <si>
    <t xml:space="preserve">Infrastructure</t>
  </si>
  <si>
    <t xml:space="preserve">If REQU-01 is no, populate solution provider answer with B2 in Auto Responses tab</t>
  </si>
  <si>
    <t xml:space="preserve">This includes end users, administrators, service accounts, etc. PBAC would include various dynamic controls such as conditional access, risk-based access, location-based access, or system activity–based access.</t>
  </si>
  <si>
    <t xml:space="preserve">Describe any limitations that prevent support for RBAC for Institutional accounts.</t>
  </si>
  <si>
    <t xml:space="preserve">Describe available roles.</t>
  </si>
  <si>
    <t xml:space="preserve">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</si>
  <si>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 xml:space="preserve">Ask the solution provider to summarize the best practices to restrict/control the access given to the institution's end users without the use of RBAC. Make sure to understand the administrative requirements/overhead introduced in the solution provider's environment.</t>
  </si>
  <si>
    <t xml:space="preserve">Are you using a web application firewall (WAF)?*</t>
  </si>
  <si>
    <t xml:space="preserve">Describe compensating controls that protect your web application, if applicable.</t>
  </si>
  <si>
    <t xml:space="preserve">Describe the currently implemented WAF.</t>
  </si>
  <si>
    <t xml:space="preserve">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</si>
  <si>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 xml:space="preserve">If a solution provider states that they outsource their code development and do not run a WAF, there is elevated reason for concern. Verify how code is tested, monitored, and controlled in production environments.</t>
  </si>
  <si>
    <t xml:space="preserve">Are only currently supported operating system(s), software, and libraries leveraged by the system(s)/application(s) that will have access to institution's data?*</t>
  </si>
  <si>
    <t xml:space="preserve">If the web application only works with a subset of modern supported browsers, please indicate that here.</t>
  </si>
  <si>
    <t xml:space="preserve">State your plan to migrate to supported operating systems, libraries, and software.</t>
  </si>
  <si>
    <t xml:space="preserve">Please provide a list of all required dependencies.</t>
  </si>
  <si>
    <t xml:space="preserve">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</si>
  <si>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 xml:space="preserve">Follow-up inquiries for operating systems leveraged by the solution provider will be institution/implementation specific.</t>
  </si>
  <si>
    <t xml:space="preserve">Does your application require access to location or GPS data?*</t>
  </si>
  <si>
    <t xml:space="preserve">Please indicate any future plans that would require access to this data</t>
  </si>
  <si>
    <t xml:space="preserve">Please describe the reasons why in detail and state if that access can be limited to while your app is running.</t>
  </si>
  <si>
    <t xml:space="preserve">Sharing location data significantly increases risk factors for users. It's important to understand if this is required.</t>
  </si>
  <si>
    <t xml:space="preserve">Ask the solution provider about the need for this requirement, and understand any mitigation strategies that may be possible.</t>
  </si>
  <si>
    <t xml:space="preserve">Does your application provide separation of duties between security administration, system administration, and standard user functions?*</t>
  </si>
  <si>
    <t xml:space="preserve">State plans to implement functionality to provide separation of duties between security administration and system administration functions.</t>
  </si>
  <si>
    <t xml:space="preserve">Describe or provide a reference to the facilities available in the system to provide separation of duties between security administration and system administration functions.</t>
  </si>
  <si>
    <t xml:space="preserve">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</si>
  <si>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 xml:space="preserve">Ask the solution provider to summarize their best practices for securing their system(s) administratively without the use of RBAC. Make sure to understand the administrative requirements/overhead introduced in the solution provider's environment.</t>
  </si>
  <si>
    <t xml:space="preserve">Do you subject your code to static code analysis and/or static application security testing prior to release?*</t>
  </si>
  <si>
    <t xml:space="preserve">State your plans to implement static code testing practices into your environment.</t>
  </si>
  <si>
    <t xml:space="preserve">Provide a list of all tools utilized during static code analysis or static application security testing.</t>
  </si>
  <si>
    <t xml:space="preserve">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</si>
  <si>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 xml:space="preserve">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</si>
  <si>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 xml:space="preserve">Do you have software testing processes (dynamic or static) that are established and followed?*</t>
  </si>
  <si>
    <t xml:space="preserve">State your plans to implement software testing processes into your environment.</t>
  </si>
  <si>
    <t xml:space="preserve">Describe testing processes, including but not limited to, development of test plans, personnel involved in the testing process, and authorized individual accountable for approval and certification of test results.</t>
  </si>
  <si>
    <t xml:space="preserve">Code analysis (prior to implementation) can decrease the number of vulnerabilities within a system. Depending on the insight a solution provider has into their code, code testing should be expected.</t>
  </si>
  <si>
    <t xml:space="preserve">If software testing processes are not established and followed, point the solution provider to OWASP's Testing Guide &lt;https://www.owasp.org/index.php/OWASP_Testing_Guide_v4_Table_of_Contents&gt;.</t>
  </si>
  <si>
    <t xml:space="preserve">Are access controls for staff within your organization based on structured rules, such as RBAC, ABAC, or PBAC?</t>
  </si>
  <si>
    <t xml:space="preserve">This includes system administrators and third-party personnel with access to the system. PBAC would include various dynamic controls such as conditional access, risk-based access, location-based access, or system activity–based access.</t>
  </si>
  <si>
    <t xml:space="preserve">Describe any limitations that prevent support for RBAC within your organization.</t>
  </si>
  <si>
    <t xml:space="preserve">Managing a solution may rely on various professionals to administer a system. This question is focused on how administration, and the segregation of functions, is implemented within the solution provider's infrastructure.</t>
  </si>
  <si>
    <t xml:space="preserve">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</si>
  <si>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 xml:space="preserve">Does the system provide data input validation and error messages?</t>
  </si>
  <si>
    <t xml:space="preserve">State plans to implement data input validation and error messaging across all components of your system.</t>
  </si>
  <si>
    <t xml:space="preserve">Describe how your system(s) provide data input validation and error messages.</t>
  </si>
  <si>
    <t xml:space="preserve">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</si>
  <si>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 xml:space="preserve">Inquire about any planned improvements to these capabilities. Ask about their product roadmap, and try to understand how they prioritize security concerns in their environment.</t>
  </si>
  <si>
    <t xml:space="preserve">Do you have a process and implemented procedures for managing your software supply chain (e.g., libraries, repositories, frameworks, etc.)</t>
  </si>
  <si>
    <t xml:space="preserve">Include any in-house developed or contract development.</t>
  </si>
  <si>
    <t xml:space="preserve">Provide supporting documentation of your processes.</t>
  </si>
  <si>
    <t xml:space="preserve">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</si>
  <si>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 xml:space="preserve">Follow-up inquiries concerning software supply chain will be institution/implementation specific.</t>
  </si>
  <si>
    <t xml:space="preserve">Have your developers been trained in secure coding techniques?</t>
  </si>
  <si>
    <t xml:space="preserve">State plans to implement a training program on industry standard secure coding practices.</t>
  </si>
  <si>
    <t xml:space="preserve">Summarize your secure coding training.</t>
  </si>
  <si>
    <t xml:space="preserve">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</si>
  <si>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 xml:space="preserve">If information security principles are not designed into the product lifecycle, point the solution provider to OWASP's Secure Coding Practices - Quick Reference Guide &lt;https://www.owasp.org/index.php/OWASP_Secure_Coding_Practices_-_Quick_Reference_Guide&gt;.</t>
  </si>
  <si>
    <t xml:space="preserve">Was your application developed using secure coding techniques?</t>
  </si>
  <si>
    <t xml:space="preserve">State plans to update your application to adhere to industry secure coding practices.</t>
  </si>
  <si>
    <t xml:space="preserve">Summarize your secure coding practices.</t>
  </si>
  <si>
    <t xml:space="preserve">If mobile, is the application available from a trusted source (e.g., App Store, Google Play Store)?</t>
  </si>
  <si>
    <t xml:space="preserve">Select N/A if there is no mobile version of your app.</t>
  </si>
  <si>
    <t xml:space="preserve">Decribe how the application is distributed. Also, state any plans to publish the app to a trusted source.</t>
  </si>
  <si>
    <t xml:space="preserve">State the application title as listed within the trusted source.</t>
  </si>
  <si>
    <t xml:space="preserve">Distributing application via known, moderately vetted application platform decreases the chances of malicious code distribution. Stand-alone deployments (nontrusted sources) should be looked at more closely.</t>
  </si>
  <si>
    <t xml:space="preserve">Ask the solution provider why this deployment strategy is used. Ask if it is a restriction of the app store platform or some other environment restriction.</t>
  </si>
  <si>
    <t xml:space="preserve">Do you have a fully implemented policy or procedure that details how your employees obtain administrator access to institutional instance of the application?</t>
  </si>
  <si>
    <t xml:space="preserve">State plans to fully implement policy or procedure that details how administrator access is handled in your environment.</t>
  </si>
  <si>
    <t xml:space="preserve">Describe or provide a reference that details how administrator access is handled (e.g., provisioning, principle of least privilege, deprovisioning, etc.).</t>
  </si>
  <si>
    <t xml:space="preserve">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</si>
  <si>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 xml:space="preserve">Ask the solution provider to summarize their implemented policies and/or procedures</t>
  </si>
  <si>
    <t xml:space="preserve">Does your solution support single sign-on (SSO) protocols for user and administrator authentication?*</t>
  </si>
  <si>
    <t xml:space="preserve">Answer "yes" only if user AND administrator authentication is supported. If partially supported, answer "no." Ensure you respond to any guidance in the Additional Information column.</t>
  </si>
  <si>
    <t xml:space="preserve">Describe plans to support strong authentication practices.</t>
  </si>
  <si>
    <t xml:space="preserve">Describe how strong authentication is enforced (e.g., complex passwords, multifactor tokens, certificates, biometrics, aging requirements, re-use policy).</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</si>
  <si>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</si>
  <si>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 xml:space="preserve">Follow-up inquiries for IAM requirements will be institution/implementation specific.</t>
  </si>
  <si>
    <t xml:space="preserve">For customers not using SSO, does your solution support local authentication protocols for user and administrator authentication?*</t>
  </si>
  <si>
    <t xml:space="preserve">Describe any plans to support local authentication modes.</t>
  </si>
  <si>
    <t xml:space="preserve">Provide a detailed description of your local authentication mode practices.</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</si>
  <si>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</si>
  <si>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The content of this response may or may not have value for the type of use case on the institution. Follow-up inquiries for authentication modes will be institution/implementation specific.</t>
  </si>
  <si>
    <t xml:space="preserve">For customers not using SSO, can you enforce password/passphrase complexity requirements (provided by the institution)?*</t>
  </si>
  <si>
    <t xml:space="preserve">Describe plans to support password/passphrase complexity requirements.</t>
  </si>
  <si>
    <t xml:space="preserve">Describe how password/passphrase complexity requirements are implemented in the product.</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</si>
  <si>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</si>
  <si>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Follow-up inquiries for password/passphrase complexity requirements will be institution/implementation specific.</t>
  </si>
  <si>
    <t xml:space="preserve">For customers not using SSO, does the system have password complexity or length limitations and/or restrictions?*</t>
  </si>
  <si>
    <t xml:space="preserve">Answer "yes" if your solution has internal limits to password complexity (max langth, certain special characters unsupported, etc.).</t>
  </si>
  <si>
    <t xml:space="preserve">Describe these limitations and/or restrictions and state what lengths and complexities are supported.</t>
  </si>
  <si>
    <t xml:space="preserve">Follow-up inquiries for password/passphrase limitations and/or restrictions will be institution/implementation specific.</t>
  </si>
  <si>
    <t xml:space="preserve">For customers not using SSO, do you have documented password/passphrase reset procedures that are currently implemented in the system and/or customer support?*</t>
  </si>
  <si>
    <t xml:space="preserve">Describe your plans to document system password/passphrase reset procedures.</t>
  </si>
  <si>
    <t xml:space="preserve">Describe your documented password/passphrase reset procedures that are currently implemented in the system and/or customer support.</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</si>
  <si>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</si>
  <si>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Ask the solution provider how end users will be supported. Ask for training documentation or knowledgebase content. Confirm solution provider and institution responsibilities in this support area (and others).</t>
  </si>
  <si>
    <t xml:space="preserve">Does your organization participate in InCommon or another eduGAIN-affiliated trust federation?*</t>
  </si>
  <si>
    <t xml:space="preserve">Describe plans to participate in InCommon or another eduGAIN-affiliated trust federation.</t>
  </si>
  <si>
    <t xml:space="preserve">List the entity IDs registered in the Additional Information column.</t>
  </si>
  <si>
    <t xml:space="preserve">This question defines the solution provider's scope of federated identity practices and their willingness to embrace higher education requirements.</t>
  </si>
  <si>
    <t xml:space="preserve">If a solution provider indicates that a system is stand-alone and cannot integrate with community standards, follow up with maturity questions and ask about other commodity type functions or other system requirements your institution may have.</t>
  </si>
  <si>
    <t xml:space="preserve">Are there any passwords/passphrases hard-coded into your systems or solutions?*</t>
  </si>
  <si>
    <t xml:space="preserve">Provide a detailed description of passwords/passphrases hard-coded into your systems or solutions.</t>
  </si>
  <si>
    <t xml:space="preserve">The response to this question can reveal the use (or not) of coding best practices. If passwords/passphrases are hard-coded into systems/productions, the solution provider should provide robust details supporting why this is required.</t>
  </si>
  <si>
    <t xml:space="preserve">Vague responses to this question should be met with concern. Repeat the question if the first answer is insufficient. Ask pointedly to ensure the solution provider is not misunderstanding.</t>
  </si>
  <si>
    <t xml:space="preserve">Are you storing any passwords in plaintext?*</t>
  </si>
  <si>
    <t xml:space="preserve">Provide a detailed description stating why account passwords/passphrases are not encrypted in storage.</t>
  </si>
  <si>
    <t xml:space="preserve">The focus of this question is confidentiality. It is a straightforward question confirming the encryption of user authentication details.</t>
  </si>
  <si>
    <t xml:space="preserve">Follow-up inquiries for password/passphrase encrypted storage will be institution/implementation specific.</t>
  </si>
  <si>
    <t xml:space="preserve">Are audit logs available that include AT LEAST all of the following: login, logout, actions performed, and source IP address?*</t>
  </si>
  <si>
    <t xml:space="preserve">Describe any plans to enable audit logs for these data elements.</t>
  </si>
  <si>
    <t xml:space="preserve">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</si>
  <si>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 xml:space="preserve">If a weak response is given, it is appropriate to ask directed questions to get specific information. Ensure that questions are targeted to ensure responses will come from the appropriate party within the solution provider.</t>
  </si>
  <si>
    <t xml:space="preserve">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</si>
  <si>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 xml:space="preserve">Ensure that all elements of AAAI-10 are clearly stated in your response.</t>
  </si>
  <si>
    <t xml:space="preserve">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</si>
  <si>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 xml:space="preserve">Can you provide the institution documentation regarding the retention period for those logs, how logs are protected, and whether they are accessible to the customer (and if so, how)?*</t>
  </si>
  <si>
    <t xml:space="preserve">Ensure that all elements of AAAI-11 are clearly stated in your response.</t>
  </si>
  <si>
    <t xml:space="preserve">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</si>
  <si>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 xml:space="preserve">Follow-up inquiries for logging details will be institution/implementation specific.</t>
  </si>
  <si>
    <t xml:space="preserve">For customers not using SSO, does your application support integration with other authentication and authorization systems?</t>
  </si>
  <si>
    <t xml:space="preserve">Describe any plans to support integration with other authentication and authorization systems.</t>
  </si>
  <si>
    <t xml:space="preserve">List which systems and versions supported (such as Active Directory, Kerberos, or other LDAP compatible directory) in Additional Info.</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</si>
  <si>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</si>
  <si>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If a solution provider indicates that a system is stand-alone and cannot integrate with the institution's infrastructure, follow up with maturity questions and ask about other commodity type functions or other system requirements your institution may have.</t>
  </si>
  <si>
    <t xml:space="preserve">Do you allow the customer to specify attribute mappings for any needed information beyond a user identifier? (e.g., Reference eduPerson, ePPA/ePPN/ePE)</t>
  </si>
  <si>
    <t xml:space="preserve">Describe plans to allow customers to specify attribute mappings.</t>
  </si>
  <si>
    <t xml:space="preserve">This questions allows an institution to know solution provider system limitations and to help them gauge the resources (that may be needed to implement) required to successfully integrate the solution with institution systems.</t>
  </si>
  <si>
    <t xml:space="preserve">Follow-up inquiries for attribute mapping requirements will be institution/implementation specific.</t>
  </si>
  <si>
    <t xml:space="preserve">For customers not using SSO, does your application support directory integration for user accounts?</t>
  </si>
  <si>
    <t xml:space="preserve">Describe any plans to support external authentication services in place of local authentication.</t>
  </si>
  <si>
    <t xml:space="preserve">Describe all authentication services supported by the system.</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</si>
  <si>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</si>
  <si>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Follow-up inquiries for system authentication will be unique to your institution (e.g., policy, infrastructure, etc.).</t>
  </si>
  <si>
    <t xml:space="preserve">Does your solution support any of the following web SSO standards: SAML2 (with redirect flow), OIDC, CAS, or other?</t>
  </si>
  <si>
    <t xml:space="preserve">An answer of "yes" should be well-supported in the Additional Information column, and all elements of interest should be sufficiently addressed.</t>
  </si>
  <si>
    <t xml:space="preserve">Describe plans to support web SSO in your solution.</t>
  </si>
  <si>
    <t xml:space="preserve">State the web SSO standards supported by your solution and provide additional details about your support, including framework(s) in use, how information is exchanged securely, etc.</t>
  </si>
  <si>
    <t xml:space="preserve">Do you support differentiation between email address and user identifier?</t>
  </si>
  <si>
    <t xml:space="preserve">Describe any plans to support differentiation between email address and user identifier.</t>
  </si>
  <si>
    <t xml:space="preserve">Follow-up inquiries for identifier requirements will be institution/implementation specific.</t>
  </si>
  <si>
    <t xml:space="preserve">For customers not using SSO, does your application and/or user frontend/portal support multifactor authentication (e.g., Duo, Google Authenticator, OTP, etc.)?</t>
  </si>
  <si>
    <t xml:space="preserve">Describe any plans to support multifactor authentication in your application.</t>
  </si>
  <si>
    <t xml:space="preserve">List all supported multifactor authentication methods, technologies, and/or solutions and provide a brief summary of each.</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</si>
  <si>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</si>
  <si>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 xml:space="preserve">Ask the solution provider about hardware and software options, future roadmap for implementations and support, etc.</t>
  </si>
  <si>
    <t xml:space="preserve">Does your application automatically lock the session or log out an account after a period of inactivity?</t>
  </si>
  <si>
    <t xml:space="preserve">Describe any plans to support automatic lock or log-out.</t>
  </si>
  <si>
    <t xml:space="preserve">Describe the default behavior of this capability.</t>
  </si>
  <si>
    <t xml:space="preserve">This is a question to ensure account integrity and institutional data confidentiality.</t>
  </si>
  <si>
    <t xml:space="preserve">Follow-up inquiries for inactivity protections will be institution/implementation specific.</t>
  </si>
  <si>
    <t xml:space="preserve">Will the institution be notified of major changes to your environment that could impact the institution's security posture?*</t>
  </si>
  <si>
    <t xml:space="preserve">Describe plans to establish a notification mechanism for major environmental changes.</t>
  </si>
  <si>
    <t xml:space="preserve">State how and when the institution will be notified of major changes to your environment.</t>
  </si>
  <si>
    <t xml:space="preserve">Notification expectations should be set earlier in the contract/assessment process. Timelines, correspondence medium, and playbook details are all aspects to keep in mind when assessing this response.</t>
  </si>
  <si>
    <t xml:space="preserve">If the solution provider's response does not cover the details outlined in the reasoning, follow up and get specific responses for each, as needed.</t>
  </si>
  <si>
    <t xml:space="preserve">Does the system support client customizations from one release to another?*</t>
  </si>
  <si>
    <t xml:space="preserve">Ensure that all relevant details pertaining to CHNG-06 are clearly stated in your response.</t>
  </si>
  <si>
    <t xml:space="preserve">Clarify the lack of support strategy for client customizations from one release to another.</t>
  </si>
  <si>
    <t xml:space="preserve">Describe or provide reference to your solution support strategy in regard to maintaining client customizations from one release to another.</t>
  </si>
  <si>
    <t xml:space="preserve">The solution provider's solution characteristics and the institution's use case will determine the relevancy of this question. The purpose of this question is to understand the underlying infrastructure and how it is maintained across all customers.</t>
  </si>
  <si>
    <t xml:space="preserve">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</si>
  <si>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 xml:space="preserve">Do you have an implemented system configuration management process (e.g.,secure "gold" images, etc.)?*</t>
  </si>
  <si>
    <t xml:space="preserve">Describe how system configuration management is currently handled in your environment.</t>
  </si>
  <si>
    <t xml:space="preserve">Summarize your implemented system configuration management precess.</t>
  </si>
  <si>
    <t xml:space="preserve">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</si>
  <si>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 xml:space="preserve">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</si>
  <si>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 xml:space="preserve">Do you have a documented change management process?</t>
  </si>
  <si>
    <t xml:space="preserve">Summarize your current change management process.</t>
  </si>
  <si>
    <t xml:space="preserve">The lack of a change management function is indicative of immature program processes. Answers to this question can provide insight into how well their responses (on the HECVAT) represent their actual environment(s).</t>
  </si>
  <si>
    <t xml:space="preserve">If a weak response is given to this answer, response scrutiny should be increased. Questions about configuration management, system authority, and documentation are appropriate.</t>
  </si>
  <si>
    <t xml:space="preserve">Does your change management process minimally include authorization, impact analysis, testing, and validation before moving changes to production?</t>
  </si>
  <si>
    <t xml:space="preserve">State your plans to implement change management in your environment or clarify what your change management processes do include.</t>
  </si>
  <si>
    <t xml:space="preserve">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</si>
  <si>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 xml:space="preserve">This question outlines a mature change management process. Changes should be analyzed for impact, officially approved, tested, and performed by authorized users.</t>
  </si>
  <si>
    <t xml:space="preserve">If the solution provider's response does not cover the details outlined in the reasoning, follow up and get specific responses, as needed.</t>
  </si>
  <si>
    <t xml:space="preserve">Does your change management process verify that all required third-party libraries and dependencies are still supported with each major change?</t>
  </si>
  <si>
    <t xml:space="preserve">Please describe any plans to implement third-party library dependancy tracking.</t>
  </si>
  <si>
    <t xml:space="preserve">Please describe your program to track these dependancies.</t>
  </si>
  <si>
    <t xml:space="preserve">This question is fundamentally about supply chain. The solution provider should be able to document its procedures around tracking libraries maintained by third parties.</t>
  </si>
  <si>
    <t xml:space="preserve">If the solution provider's response does not cover the details outlined in the reasoning, follow-up and get specific responses for each, as needed.</t>
  </si>
  <si>
    <t xml:space="preserve">Do you have policy and procedure, currently implemented, managing how critical patches are applied to all systems and applications?</t>
  </si>
  <si>
    <t xml:space="preserve">State your plans to implement policy and procedure(s) to manage how critical patches are applied to systems and applications.</t>
  </si>
  <si>
    <t xml:space="preserve">Summarize the policy and procedure(s) managing how critical patches are applied to systems and applications.</t>
  </si>
  <si>
    <t xml:space="preserve">Answers to this question will reveal the solution provider’s knowledge of their IT assets and their ability to respond to notifications about their systems and software.</t>
  </si>
  <si>
    <t xml:space="preserve">Follow-up inquiries for the solution provider’s patching practices will be institution/implementation specific.</t>
  </si>
  <si>
    <t xml:space="preserve">Have you implemented policies and procedures that guide how security risks are mitigated until patches can be applied?</t>
  </si>
  <si>
    <t xml:space="preserve">State your plans to implement policy and procedure(s) guiding risk mitigation practices before critical patches can be applied.</t>
  </si>
  <si>
    <t xml:space="preserve">Summarize the policy and procedure(s) guiding risk mitigation practices before critical patches can be applied.</t>
  </si>
  <si>
    <t xml:space="preserve">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</si>
  <si>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 xml:space="preserve">Follow-up inquiries for the solution providers patching practices will be institution/implementation specific.</t>
  </si>
  <si>
    <t xml:space="preserve">Do clients have the option to not participate in or postpone an upgrade to a new release?</t>
  </si>
  <si>
    <t xml:space="preserve">Summarize why clients do not have alternative release options.</t>
  </si>
  <si>
    <t xml:space="preserve">Provide reference the the process/procedure to manage releases.</t>
  </si>
  <si>
    <t xml:space="preserve">Please explain why this does not apply to your organization, product or service.</t>
  </si>
  <si>
    <t xml:space="preserve">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</si>
  <si>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 xml:space="preserve">Follow-up inquiries for solution version releases will be institution/implementation specific.</t>
  </si>
  <si>
    <t xml:space="preserve">Do you have a fully implemented solution support strategy that defines how many concurrent versions you support?</t>
  </si>
  <si>
    <t xml:space="preserve">List the current version you support and what percentage of customers are utilizing that version.</t>
  </si>
  <si>
    <t xml:space="preserve">Clarify the lack of support strategy for concurrent versions in your solution.</t>
  </si>
  <si>
    <t xml:space="preserve">Describe or provide a reference to your solution support strategy in regard to maintaining software currency (i.e., how many concurrent versions are you willing to run and support?).</t>
  </si>
  <si>
    <t xml:space="preserve">Supporting multiple versions of a solution is challenging. Understanding the solution provider’s strategy and resources will provide insight into its ability to adequately support their customers.</t>
  </si>
  <si>
    <t xml:space="preserve">Follow-up inquiries for the solution provider’s support of concurrent versions will be institution/implementation specific.</t>
  </si>
  <si>
    <t xml:space="preserve">Do you have a release schedule for product updates?</t>
  </si>
  <si>
    <t xml:space="preserve">State any plans to release a schedule of product updates.</t>
  </si>
  <si>
    <t xml:space="preserve">Provide a reference to this solution's release schedule.</t>
  </si>
  <si>
    <t xml:space="preserve">Answers to this question will reveal the solution provider’s ability to plan in the short term. This is valuable information for customers so they can anticipate updates and potential bug fixes.</t>
  </si>
  <si>
    <t xml:space="preserve">Follow-up inquiries for the solution provider’s solution update practices will be institution/implementation specific.</t>
  </si>
  <si>
    <t xml:space="preserve">Do you have a technology roadmap, for at least the next two years, for enhancements and bug fixes for the solution being assessed?</t>
  </si>
  <si>
    <t xml:space="preserve">State any plans to release a technology roadmap covering the next two years.</t>
  </si>
  <si>
    <t xml:space="preserve">Provide a reference to your technology roadmap.</t>
  </si>
  <si>
    <t xml:space="preserve">Answers to this question will reveal the solution provider’s ability to plan for the future of their solution.</t>
  </si>
  <si>
    <t xml:space="preserve">Follow-up inquiries for the solution provider’s technology planning practices will be institution/implementation specific.</t>
  </si>
  <si>
    <t xml:space="preserve">Can solution updates be completed without institutional involvement (i.e., technically or organizationally)?</t>
  </si>
  <si>
    <t xml:space="preserve">Summarize the institution's responsibilities during solution updates.</t>
  </si>
  <si>
    <t xml:space="preserve">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</si>
  <si>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 xml:space="preserve">Vague responses to this question should be investigated further. Ask for additional documentation for customer responsibilities (in the context of information technology/security).</t>
  </si>
  <si>
    <t xml:space="preserve">Are upgrades or system changes installed during off-peak hours or in a manner that does not impact the customer?</t>
  </si>
  <si>
    <t xml:space="preserve">Decribe plans to minimize the impact of downtime based on predefined off-peak hours.</t>
  </si>
  <si>
    <t xml:space="preserve">Define current off-peak hours, including time zones as necessary.</t>
  </si>
  <si>
    <t xml:space="preserve">Restricting system updates to a standard maintenance timeframe is important for ensuring that changes to production systems do not impact operations. It’s also important for troubleshooting any problems that may occur as a result of the changes.</t>
  </si>
  <si>
    <t xml:space="preserve">Do procedures exist to provide that emergency changes are documented and authorized (including after-the-fact approval)?</t>
  </si>
  <si>
    <t xml:space="preserve">Describe plans to implement procedure ensuring that emergency changes are documented and authorized.</t>
  </si>
  <si>
    <t xml:space="preserve">Summarize implemented procedures ensuring that emergency changes are documented and authorized.</t>
  </si>
  <si>
    <t xml:space="preserve">In the context of the CIA triad, this question is focused on system integrity, ensuring that system changes are only executed by authorized users. In the event of emergency changes, accountability and post-action review are expected.</t>
  </si>
  <si>
    <t xml:space="preserve">Follow up with a robust question set if a solution provider cannot clearly state full control of the integrity of their system(s).</t>
  </si>
  <si>
    <t xml:space="preserve">Do you have a systems management and configuration strategy that encompasses servers, appliances, cloud services, applications, and mobile devices (company and employee owned)?</t>
  </si>
  <si>
    <t xml:space="preserve">Describe your intent to implement a systems management and configuration strategy.</t>
  </si>
  <si>
    <t xml:space="preserve">Summarize your systems management and configuration strategy.</t>
  </si>
  <si>
    <t xml:space="preserve">Will the institution's data be stored on any devices (database servers, file servers, SAN, NAS, etc.) configured with non-RFC 1918/4193 (i.e., publicly routable) IP addresses?*</t>
  </si>
  <si>
    <t xml:space="preserve">State the need for this strategy, in detail.</t>
  </si>
  <si>
    <t xml:space="preserve">Systems that are directly exposed to public internet resources are at greater risk than those that are not. Understanding the requirements for this configuration is important, particularly when assessing compensating controls.</t>
  </si>
  <si>
    <t xml:space="preserve">Ask the solution provider about its infrastructure and if there is a solution that eliminates the need for this environment.</t>
  </si>
  <si>
    <t xml:space="preserve">Is the transport of sensitive data encrypted using security protocols/algorithms (e.g., system-to-client)?*</t>
  </si>
  <si>
    <t xml:space="preserve">Describe why sensitive data is not encrypted in transport.</t>
  </si>
  <si>
    <t xml:space="preserve">Summarize your transport encryption strategy.</t>
  </si>
  <si>
    <t xml:space="preserve">The need for encryption in transport is unique to your institution's implementation of a system. In particular, the data flow between the system and the end users of the solution.</t>
  </si>
  <si>
    <t xml:space="preserve">Follow-up inquiries for data encryption between the system and end-users will be institution/implementation specific.</t>
  </si>
  <si>
    <t xml:space="preserve">Is the storage of sensitive data encrypted using security protocols/algorithms (e.g., disk encryption, at-rest, files, and within a running database)?*</t>
  </si>
  <si>
    <t xml:space="preserve">Describe why sensitive data is not encrypted in storage.</t>
  </si>
  <si>
    <t xml:space="preserve">Summarize your data encryption strategy and state what encryption options are available.</t>
  </si>
  <si>
    <t xml:space="preserve">The need for encryption at-rest is unique to your institution's implementation of a system. In particular, system components, architectures, and data flows all factor into the need for this control.</t>
  </si>
  <si>
    <t xml:space="preserve">Follow-up inquiries for data encryption at-rest will be institution/implementation specific.</t>
  </si>
  <si>
    <t xml:space="preserve">Do all cryptographic modules in use in your solution conform to the Federal Information Processing Standards (FIPS PUB 140-2 or 140-3)?*</t>
  </si>
  <si>
    <t xml:space="preserve">Provide a detailed description of all non-conforming modules.</t>
  </si>
  <si>
    <t xml:space="preserve">Provide reference to FIPS 140-3 validation certificates.</t>
  </si>
  <si>
    <t xml:space="preserve">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</si>
  <si>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 xml:space="preserve">If the solution provider cannot accommodate open standards encryption requirements, direct them to NIST's Cryptographic Standards and Guidelines document &lt;https://csrc.nist.gov/Projects/Cryptographic-Standards-and-Guidelines&gt;.</t>
  </si>
  <si>
    <t xml:space="preserve">Will the institution's data be available within the system for a period of time at the completion of this contract?*</t>
  </si>
  <si>
    <t xml:space="preserve">Describe your data export procedures conducted at the termination of contract.</t>
  </si>
  <si>
    <t xml:space="preserve">State the length of time that the institution's data will be available in the system at the completion of the contract.</t>
  </si>
  <si>
    <t xml:space="preserve">When cancelling a solution, an institution will commonly want all institutional data that was provided to a solution provider. This questions allows the solution provider to state their general practices when a customer leaves their environment.</t>
  </si>
  <si>
    <t xml:space="preserve">A solution provider's response should be clear and concise. Be wary of vague responses to this questions and inquire about export specifics, as needed.</t>
  </si>
  <si>
    <t xml:space="preserve">Are ownership rights to all data, inputs, outputs, and metadata retained even through a provider acquisition or bankruptcy event?*</t>
  </si>
  <si>
    <t xml:space="preserve">Provide a detailed description why rights are not retained.</t>
  </si>
  <si>
    <t xml:space="preserve">Provide references, as needed.</t>
  </si>
  <si>
    <t xml:space="preserve">This question clarifies the position of the institution in the case of acquisition or bankruptcy. Expect clear responses to this question. If they are vague, be sure to follow up based on institutional counsel guidance.</t>
  </si>
  <si>
    <t xml:space="preserve">If a solution provider's response is unsatisfactory, engage institutional counsel to appropriately address any ownership concerns.</t>
  </si>
  <si>
    <t xml:space="preserve">Do backups containing the institution's data ever leave the institution's data zone either physically or via network routing?*</t>
  </si>
  <si>
    <t xml:space="preserve">Summarize why backups containing the institution's data leave the institution's data zone.</t>
  </si>
  <si>
    <t xml:space="preserve">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</si>
  <si>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 xml:space="preserve">Follow-up inquiries for data backup procedures/practices will be institution/implementation specific.</t>
  </si>
  <si>
    <t xml:space="preserve">Is media used for long-term retention of business data and archival purposes stored in a secure, environmentally protected area?*</t>
  </si>
  <si>
    <t xml:space="preserve">State plans to store long-term media in environmentally protected areas.</t>
  </si>
  <si>
    <t xml:space="preserve">Provide a general summary of your archival environment.</t>
  </si>
  <si>
    <t xml:space="preserve">Managing media (and the data within) throughout its lifecycle is crucial to the protection of institutional data. The focus of this question is confidentiality, ensuring that media that may store institutional data is protected by well-established policy and procedure.</t>
  </si>
  <si>
    <t xml:space="preserve">Vague responses to this question should be investigated further. Ask for additional documentation and verify that procedure (and possibly training) exists to ensure proper media handling activity.</t>
  </si>
  <si>
    <t xml:space="preserve">At the completion of this contract, will data be returned to the institution and/or deleted from all your systems and archives?</t>
  </si>
  <si>
    <t xml:space="preserve">Please specify if it will be returned, deleted, or both. </t>
  </si>
  <si>
    <t xml:space="preserve">State plans to implement capabilities for the institution to retrieve its data.</t>
  </si>
  <si>
    <t xml:space="preserve">When cancelling a solution, an institution will commonly want all institutional data that was provided to a solution provider. This question allows the solution provider to state its general practices when a customer leaves its environment.</t>
  </si>
  <si>
    <t xml:space="preserve">Can the institution extract a full or partial backup of data?</t>
  </si>
  <si>
    <t xml:space="preserve">State plans to implement capabilities for the institution to extract a full or partial backup of data.</t>
  </si>
  <si>
    <t xml:space="preserve">Provide a general summary of how full and partial backups of data can be extracted.</t>
  </si>
  <si>
    <t xml:space="preserve">When cancelling a solution, an institution will commonly want all institutional data that was provided to a solution provider. The solution provider's response should verify if the institution can extract data or if it is a manual extraction by solution provider staff.</t>
  </si>
  <si>
    <t xml:space="preserve">Do current backups include all operating system software, utilities, security software, application software, and data files necessary for recovery?</t>
  </si>
  <si>
    <t xml:space="preserve">State plans to include the elements listed in DATA-13 in your backup strategy.</t>
  </si>
  <si>
    <t xml:space="preserve">Decribe your overall strategy to accomplish these elements.</t>
  </si>
  <si>
    <t xml:space="preserve">The purpose of this question is to define the scope of backup operations and the scope at which a solution provider may readily recover when backup restoration is required.</t>
  </si>
  <si>
    <t xml:space="preserve">Follow-up inquiries for backup content scope will be institution/implementation specific.</t>
  </si>
  <si>
    <t xml:space="preserve">Are you performing off-site backups (i.e., digitally moved off site)?</t>
  </si>
  <si>
    <t xml:space="preserve">State any plans to implement off-site virtual backups in your environment.</t>
  </si>
  <si>
    <t xml:space="preserve">Summarize your off-site backup strategy.</t>
  </si>
  <si>
    <t xml:space="preserve">When data is moved digitally (e.g., cloud provider, solution provider-owned facility, etc.) off-site, the policies and implemented procedures are important to know. The protections implemented to prevent compromise will be technical in nature and should be well-documented.</t>
  </si>
  <si>
    <t xml:space="preserve">Follow-up inquiries for off-site, digital backups will be institution/implementation specific.</t>
  </si>
  <si>
    <t xml:space="preserve">Are physical backups taken off-site (i.e., physically moved off site)?</t>
  </si>
  <si>
    <t xml:space="preserve">State any plans to implement off-site physical backups in your environment.</t>
  </si>
  <si>
    <t xml:space="preserve">Provide the distance (in miles) between the primary and off-site locations.</t>
  </si>
  <si>
    <t xml:space="preserve">When data is moved physically (e.g.,HDD, print, etc.) off-site, the policies and implemented procedures are important to know. Unencrypted data taken outside secured areas introduces unnecessary risks.</t>
  </si>
  <si>
    <t xml:space="preserve">Follow-up inquiries for off-site, physical backups will be institution/implementation specific.</t>
  </si>
  <si>
    <t xml:space="preserve">Are data backups encrypted?</t>
  </si>
  <si>
    <t xml:space="preserve">Summarize why backups are not encrypted.</t>
  </si>
  <si>
    <t xml:space="preserve">Summarize the encryption algorithm/strategy you are using to secure backups.</t>
  </si>
  <si>
    <t xml:space="preserve">The need for encryption at rest (for backups) is unique to your institution's implementation of a system. In particular, system components, architectures, and data flows all factor into the need for this control.</t>
  </si>
  <si>
    <t xml:space="preserve">Follow-up inquiries for data backup encryption at-rest will be institution/implementation specific.</t>
  </si>
  <si>
    <t xml:space="preserve">Do you have a media handling process that is documented and currently implemented that meets established business needs and regulatory requirements, including end-of-life, repurposing, and data-sanitization procedures?</t>
  </si>
  <si>
    <t xml:space="preserve">Provide a detailed summary of media handling processes that do exist.</t>
  </si>
  <si>
    <t xml:space="preserve">Provide documented details of this process (link or attached).</t>
  </si>
  <si>
    <t xml:space="preserve">Does the process described in DATA-15 adhere to DoD 5220.22-M and/or NIST SP 800-88 standards?</t>
  </si>
  <si>
    <t xml:space="preserve">State plans to adhere to DoD 5220.22-M and/or NIST SP 800-88 standards.</t>
  </si>
  <si>
    <t xml:space="preserve">Follow-up inquiries for DoD 5220.22-M and/or SP800-88 standards will be institution specific.</t>
  </si>
  <si>
    <t xml:space="preserve">Does your staff (or third party) have access to institutional data (e.g., financial, PHI, or other sensitive information) through any means?</t>
  </si>
  <si>
    <t xml:space="preserve">Summarize what access staff (or third parties) have to institutional data.</t>
  </si>
  <si>
    <t xml:space="preserve">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</si>
  <si>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 xml:space="preserve">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</si>
  <si>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 xml:space="preserve">Do you have a documented and currently implemented strategy for securing employee workstations when they work remotely (i.e., not in a trusted computing environment)?</t>
  </si>
  <si>
    <t xml:space="preserve">Provide a detailed summary outlining the security controls implemented to protect the institution's data.</t>
  </si>
  <si>
    <t xml:space="preserve">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</si>
  <si>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 xml:space="preserve">Vague responses to this question should be investigated further. Ask for additional documentation and verify that procedure (and possibly training) exists to ensure proper customer data handling activity.</t>
  </si>
  <si>
    <t xml:space="preserve">Does the environment provide for dedicated single-tenant capabilities? If not, describe how your solution or environment separates data from different customers (e.g., logically, physically, single tenancy, multi-tenancy).</t>
  </si>
  <si>
    <t xml:space="preserve">Describe your plan to separate institution data from that of other customers.</t>
  </si>
  <si>
    <t xml:space="preserve">Describe or provide a reference to how institution data is separated from that of other customers.</t>
  </si>
  <si>
    <t xml:space="preserve">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</si>
  <si>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 xml:space="preserve">Follow-up inquiries for dedicated single-tenant capabilities will be institution/implementation specific.</t>
  </si>
  <si>
    <t xml:space="preserve">Are ownership rights to all data, inputs, outputs, and metadata retained by the institution?</t>
  </si>
  <si>
    <t xml:space="preserve">Describe in detail why ownership rights are not retained by the institution.</t>
  </si>
  <si>
    <t xml:space="preserve">Provide reference to your data ownership documention.</t>
  </si>
  <si>
    <t xml:space="preserve">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</si>
  <si>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 xml:space="preserve">In the event of imminent bankruptcy, closing of business, or retirement of service, will you provide 90 days for customers to get their data out of the system and migrate applications?</t>
  </si>
  <si>
    <t xml:space="preserve">Provide a detailed summary to support your selection.</t>
  </si>
  <si>
    <t xml:space="preserve">State how the institution will be notified of imminent termination.</t>
  </si>
  <si>
    <t xml:space="preserve">Are involatile backup copies made according to predefined schedules and securely stored and protected?</t>
  </si>
  <si>
    <t xml:space="preserve">Ensure that response addresses involatile storage and lists retention periods.</t>
  </si>
  <si>
    <t xml:space="preserve">State how the institution's data is protected from system failures and ransomware.</t>
  </si>
  <si>
    <t xml:space="preserve">If your strategy uses different processes for services and data, ensure that all strategies are clearly stated and supported.</t>
  </si>
  <si>
    <t xml:space="preserve">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</si>
  <si>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 xml:space="preserve">An institution's use case will drive the requirements for backup strategy. Ensure that the institution's use case and risk tolerance can be met by solution provider systems.</t>
  </si>
  <si>
    <t xml:space="preserve">Do you have a cryptographic key management process (generation, exchange, storage, safeguards, use, vetting, and replacement) that is documented and currently implemented, for all system components (e.g., database, system, web, etc.)?</t>
  </si>
  <si>
    <t xml:space="preserve">Summarize your cryptographic key management process.</t>
  </si>
  <si>
    <t xml:space="preserve">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</si>
  <si>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 xml:space="preserve">Follow up with the solution provider to ensure that all components of the system are considered. This includes system-to-system, system-to-client, applications, system accounts, etc.</t>
  </si>
  <si>
    <t xml:space="preserve">Select your hosting option.</t>
  </si>
  <si>
    <t xml:space="preserve">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</si>
  <si>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 xml:space="preserve">If you are using an option not listed, or a combination of options, select "Other." Your selection here will determine which questions below are required.</t>
  </si>
  <si>
    <t xml:space="preserve">Understanding the hosting environment may reveal infrastructure risks that may not be apparent by other means and provides context to the responses provided throughout this HECVAT.</t>
  </si>
  <si>
    <t xml:space="preserve">Follow-up inquiries for hosting options will be institution/implementation specific.</t>
  </si>
  <si>
    <t xml:space="preserve">Is a SOC 2 Type 2 report available for the hosting environment?</t>
  </si>
  <si>
    <t xml:space="preserve">Obtain the report if possible and add it to your submission.</t>
  </si>
  <si>
    <t xml:space="preserve">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</si>
  <si>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 xml:space="preserve">Follow-up inquiries for additional solution provider's SOC 2 Type 2 reports will be institution/implementation specific.</t>
  </si>
  <si>
    <t xml:space="preserve">Are you generally able to accommodate storing each institution's data within its geographic region?</t>
  </si>
  <si>
    <t xml:space="preserve">Please indicate which geographic regions you can provide storage in the Additional Info column.</t>
  </si>
  <si>
    <t xml:space="preserve">Under what circumstances would institutional data leave a designated region or regions?</t>
  </si>
  <si>
    <t xml:space="preserve">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</si>
  <si>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 xml:space="preserve">If a solution provider is unable to accommodate storing/processing institutional data within specific regions, ask them why they are unable to. Try to determine if it's an infrastructure issue (scalability), a cost-reduction strategy (size/maturity), or some other issue.</t>
  </si>
  <si>
    <t xml:space="preserve">Are the data centers staffed 24 hours a day, seven days a week (i.e., 24 x 7 x 365)?</t>
  </si>
  <si>
    <t xml:space="preserve">State any plans to staff data centers 24 x 7 x 365.</t>
  </si>
  <si>
    <t xml:space="preserve">Describe the on-site staff capabilities.</t>
  </si>
  <si>
    <t xml:space="preserve">Solution Providers that operate their own datacenter(s) can implement their own monitoring strategy. Use the solution provider's response to this questions to verify/validate other responses related to ownership/co-location/physical security.</t>
  </si>
  <si>
    <t xml:space="preserve">Follow-up inquiries for data center staffing will be institution/implementation specific.</t>
  </si>
  <si>
    <t xml:space="preserve">Are your servers separated from other companies via a physical barrier, such as a cage or hard walls?</t>
  </si>
  <si>
    <t xml:space="preserve">State plans to separate your servers from others via a physical barrier.</t>
  </si>
  <si>
    <t xml:space="preserve">Describe your physical barrier strategy.</t>
  </si>
  <si>
    <t xml:space="preserve">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</si>
  <si>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 xml:space="preserve">Follow-up inquiries for system physical security will be institution/implementation specific.</t>
  </si>
  <si>
    <t xml:space="preserve">Does a physical barrier fully enclose the physical space, preventing unauthorized physical contact with any of your devices?*</t>
  </si>
  <si>
    <t xml:space="preserve">State plans to implement a physical barrier to prevent physical contact with any of your devices.</t>
  </si>
  <si>
    <t xml:space="preserve">Are your primary and secondary data centers geographically diverse?</t>
  </si>
  <si>
    <t xml:space="preserve">Describe any plans to implement.</t>
  </si>
  <si>
    <t xml:space="preserve">State your primary and secondary data center locations. For cloud infrastructures, state the primary and secondary zones.</t>
  </si>
  <si>
    <t xml:space="preserve">When planning for business continuity and disaster recovery, considering geographic diversity of a solution provider's operating environment will help analysts better understand risk due to widespread technical issues as well as weather and environmental considerations.</t>
  </si>
  <si>
    <t xml:space="preserve">Follow-up inquiries for geographic diversity in datacenters will be institution/implementation specific.</t>
  </si>
  <si>
    <t xml:space="preserve">Is the service hosted in a high-availability environment?</t>
  </si>
  <si>
    <t xml:space="preserve">Describe any plans to implement a high-availability environment for your systems.</t>
  </si>
  <si>
    <t xml:space="preserve">Provide a summary to support your response selection.</t>
  </si>
  <si>
    <t xml:space="preserve">In the context of the CIA triad, this question is focused on the availability of a system (or set of systems).</t>
  </si>
  <si>
    <t xml:space="preserve">The weight placed on the solution provider's response will be specific to the institution's use case and solution requirements.</t>
  </si>
  <si>
    <t xml:space="preserve">Is redundant power available for all data centers where institutional data will reside?</t>
  </si>
  <si>
    <t xml:space="preserve">Describe any plans to implement a redundant power environment for your systems.</t>
  </si>
  <si>
    <t xml:space="preserve">Provide a detailed description of the implemented strategy (i.e.,batteries, generator).</t>
  </si>
  <si>
    <t xml:space="preserve">Are redundant power strategies tested?*</t>
  </si>
  <si>
    <t xml:space="preserve">State plans to implement redundant power testing for your systems.</t>
  </si>
  <si>
    <t xml:space="preserve">State how often redundant power strategies are tested and the date of the last successful test.</t>
  </si>
  <si>
    <t xml:space="preserve">Installing (potential) redundant power and regularly testing strategies to ensure they will work when needed are very different. Vague responses to this question should be met with concern and appropriate follow up, based on your institution's risk tolerance.</t>
  </si>
  <si>
    <t xml:space="preserve">Follow-up inquiries for redundant power testing details will be institution/implementation specific.</t>
  </si>
  <si>
    <t xml:space="preserve">Does the center where the data will reside have cooling and fire-suppression systems that are active and regularly tested?</t>
  </si>
  <si>
    <t xml:space="preserve">Installing appropriate environmental controls is crucial to maintaining the integrity of the hosting site. Vague responses to this question should be met with concern and appropriate follow up, based on your institutions risk tolerance.</t>
  </si>
  <si>
    <t xml:space="preserve">Follow-up inquiries for cooling and fire suppression systems will be institution/implementation specific.</t>
  </si>
  <si>
    <t xml:space="preserve">Do you have Internet Service Provider (ISP) redundancy?</t>
  </si>
  <si>
    <t xml:space="preserve">State the ISP provider(s) in addition to the number of ISPs that provide connectivity.</t>
  </si>
  <si>
    <t xml:space="preserve">State how many Internet Service Providers (ISPs) provide connectivity to each data center where the institution's data will reside.</t>
  </si>
  <si>
    <t xml:space="preserve">Does every data center where the institution's data will reside have multiple telephone company or network provider entrances to the facility?</t>
  </si>
  <si>
    <t xml:space="preserve">State plans to implement diversity of path in your network provider connections.</t>
  </si>
  <si>
    <t xml:space="preserve">Provide a brief description for each datacenter.</t>
  </si>
  <si>
    <t xml:space="preserve">Do you require multifactor authentication for all administrative accounts in your environment?</t>
  </si>
  <si>
    <t xml:space="preserve">Describe plans to implement MFA.</t>
  </si>
  <si>
    <t xml:space="preserve">State which model of MFA you are using.</t>
  </si>
  <si>
    <t xml:space="preserve">2FA/MFA, implemented correctly, strengthens the security state of a system. 2FA/MFA is commonly implemented and in many use cases is a requirement for account protection purposes.</t>
  </si>
  <si>
    <t xml:space="preserve">Are you using your cloud provider's available hardening tools or pre-hardened images?</t>
  </si>
  <si>
    <t xml:space="preserve">Describe how you alternately harden your images.</t>
  </si>
  <si>
    <t xml:space="preserve">In the context of the CIA triad, this question is focused on the integrity of a system (or set of systems).</t>
  </si>
  <si>
    <t xml:space="preserve">Ask the solution provider about their system lifecycle practices and security methodology.</t>
  </si>
  <si>
    <t xml:space="preserve">Does your cloud solution provider have access to your encryption keys?</t>
  </si>
  <si>
    <t xml:space="preserve">Describe your key management practices.</t>
  </si>
  <si>
    <t xml:space="preserve">Are you utilizing a stateful packet inspection (SPI) firewall?*</t>
  </si>
  <si>
    <t xml:space="preserve">Describe any plans to implement a SPI firewall.</t>
  </si>
  <si>
    <t xml:space="preserve">Describe the currently implemented SPI firewall.</t>
  </si>
  <si>
    <t xml:space="preserve">The use case, vendor infrastructure, and types of services offered will greatly affect the need for various firewalling devices. The focus of this question is integrity, ensuring that the systems hosting institutional data are limited in need-only communications.</t>
  </si>
  <si>
    <t xml:space="preserve">Follow-up inquiries for firewall capabilities will be institution/implementation specific.</t>
  </si>
  <si>
    <t xml:space="preserve">Do you have a documented policy for firewall change requests?*</t>
  </si>
  <si>
    <t xml:space="preserve">Describe your plans to implement a documented policy for firewall change requests.</t>
  </si>
  <si>
    <t xml:space="preserve">Describe your documented firewall change request policy.</t>
  </si>
  <si>
    <t xml:space="preserve">In the context of the CIA triad, this question is focused on system integrity, ensuring that system changes are only executed by authorized users. Any change to a verified, known, secure environment should be carefully evaluated by stakeholders in a structured manner.</t>
  </si>
  <si>
    <t xml:space="preserve">Follow-up inquiries for firewall change requests will be institution/implementation specific.</t>
  </si>
  <si>
    <t xml:space="preserve">Have you implemented an intrusion detection system (network-based)?*</t>
  </si>
  <si>
    <t xml:space="preserve">Describe your plan to implement an intrusion detection system in your environment.</t>
  </si>
  <si>
    <t xml:space="preserve">Describe the currently implemented IDS.</t>
  </si>
  <si>
    <t xml:space="preserve">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</si>
  <si>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 xml:space="preserve">A security program with limited resources for event detection is not effective. Inquiries should include training for staff, reasoning behind not using IDS technologies, and how systems are monitored. Additional questions about a SIEM and other tool may be appropriate.</t>
  </si>
  <si>
    <t xml:space="preserve">Do you employ host-based intrusion detection?*</t>
  </si>
  <si>
    <t xml:space="preserve">Describe your plan to implement host-based intrusion detection system capabilities in your environment.</t>
  </si>
  <si>
    <t xml:space="preserve">Describe the currently implemented host-based IDS solution(s).</t>
  </si>
  <si>
    <t xml:space="preserve">Ask the solution provider to summarize why host-based intrusion detection tools are not implemented in their environment. What compensating controls are in place to detect configuration changes and/or failures of integrity?</t>
  </si>
  <si>
    <t xml:space="preserve">Are audit logs available for all changes to the network, firewall, IDS, and IPS systems?*</t>
  </si>
  <si>
    <t xml:space="preserve">State plans to implement auditing capabilities for your network, firewall, IDS, and/or IPS.</t>
  </si>
  <si>
    <t xml:space="preserve">Describe your current network systems logging strategy.</t>
  </si>
  <si>
    <t xml:space="preserve">Strong logging capabilities are vital to the proper management of a network. Implementing an immature system that lacks sufficient logging capabilities exposes an institution to great risk.</t>
  </si>
  <si>
    <t xml:space="preserve">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</si>
  <si>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 xml:space="preserve">Is authority for firewall change approval documented? Please list approver names or titles in Additional Info.</t>
  </si>
  <si>
    <t xml:space="preserve">Describe how firewall changes are approved.</t>
  </si>
  <si>
    <t xml:space="preserve">List approver names or titles.</t>
  </si>
  <si>
    <t xml:space="preserve">Modifications to firewall rule sets can have significant repercussions. To ensure the integrity of the rule set, this question targets the individual (or responsible party) for changes and the reasoning behind their authority.</t>
  </si>
  <si>
    <t xml:space="preserve">Ensure that a separation of duties exists in network security configurations. Pay close attention to responsibility overlap in small organizations, where staff often fill multiple roles.</t>
  </si>
  <si>
    <t xml:space="preserve">Have you implemented an intrusion prevention system (network-based)?</t>
  </si>
  <si>
    <t xml:space="preserve">Describe your plan to implement an intrusion prevention system in your environment.</t>
  </si>
  <si>
    <t xml:space="preserve">Describe the currently implemented IPS.</t>
  </si>
  <si>
    <t xml:space="preserve">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</si>
  <si>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 xml:space="preserve">A security program with limited resources for active prevention is inefficient. Inquiries should include training for staff, reasoning behind not using IPS technologies, and how systems are actively protected and how malicious activity is stopped.</t>
  </si>
  <si>
    <t xml:space="preserve">Do you employ host-based intrusion prevention?</t>
  </si>
  <si>
    <t xml:space="preserve">Describe your plan to implement host-based intrusion prevention system capabilities in your environment.</t>
  </si>
  <si>
    <t xml:space="preserve">Describe the currently implemented host-based IPS solution(s).</t>
  </si>
  <si>
    <t xml:space="preserve">Ask the solution provider to summarize why host-based intrusion prevention tools are not implemented in their environment. What compensating controls are in place to detect malicious activity and to actively prevent its function?</t>
  </si>
  <si>
    <t xml:space="preserve">Are you employing any next-generation persistent threat (NGPT) monitoring?</t>
  </si>
  <si>
    <t xml:space="preserve">Describe your intent to implement NGPT monitoring.</t>
  </si>
  <si>
    <t xml:space="preserve">Describe your NGPT monitoring strategy.</t>
  </si>
  <si>
    <t xml:space="preserve">This question is primarily focused on determining the maturity of a solution provider's security program and their ability to implement and operate cutting-edge technologies. Investment in advanced technologies may indicate appropriate security program capabilities.</t>
  </si>
  <si>
    <t xml:space="preserve">Follow-up inquiries for next-generation persistent threat monitoring will be institution/implementation specific.</t>
  </si>
  <si>
    <t xml:space="preserve">Is intrusion monitoring performed internally or by a third-party service?</t>
  </si>
  <si>
    <t xml:space="preserve">In addition to stating your intrusion monitoring strategy, provide a brief summary of its implementation.</t>
  </si>
  <si>
    <t xml:space="preserve">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</si>
  <si>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 xml:space="preserve">Follow-up inquiries for intrusion monitoring will be institution/implementation specific.</t>
  </si>
  <si>
    <t xml:space="preserve">Do you monitor for intrusions on a 24 x 7 x 365 basis?</t>
  </si>
  <si>
    <t xml:space="preserve">State plans to implement 24 x 7 x 365 intrusion monitoring in your environment(s).</t>
  </si>
  <si>
    <t xml:space="preserve">Provide a brief summary of this activity.</t>
  </si>
  <si>
    <t xml:space="preserve">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</si>
  <si>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 xml:space="preserve">Follow-up inquiries for 24 x 7 x 365 monitoring will be institution/implementation specific.</t>
  </si>
  <si>
    <t xml:space="preserve">Do you have a documented patch management process?*</t>
  </si>
  <si>
    <t xml:space="preserve">In the context of the CIA triad, this question is focused on system integrity, ensuring that system changes are only executed according to policy. Additionally, it is expected that devices used to access the solution provider's systems are properly managed and secured.</t>
  </si>
  <si>
    <t xml:space="preserve">Follow up with a robust question set if the solution provider cannot clearly state full control of their system patching strategy. Questions about patch testing, testing environments, threat mitigation, incident remediation, etc., are appropriate.</t>
  </si>
  <si>
    <t xml:space="preserve">Can your organization comply with institutional policies on privacy and data protection with regard to users of institutional systems, if required?*</t>
  </si>
  <si>
    <t xml:space="preserve">Summarize why you will not comply with the institution's IT policy with regards to user privacy and data protection.</t>
  </si>
  <si>
    <t xml:space="preserve">State that you have reviewed the institution's IT policies with regards to user privacy and data protection.</t>
  </si>
  <si>
    <t xml:space="preserve">This is a general inquiry to determine if the solution provider has reviewed the institution's policies and is committed to complying with them.</t>
  </si>
  <si>
    <t xml:space="preserve">If a solution provider is vague in their response, follow up with direct questions about the institution's policies and ensure the expectation of compliance is clear with the solution provider.</t>
  </si>
  <si>
    <t xml:space="preserve">Is your company subject to the institution's geographic region's laws and regulations?*</t>
  </si>
  <si>
    <t xml:space="preserve">State the country that governs and regulates your company.</t>
  </si>
  <si>
    <t xml:space="preserve">This is a general inquiry to determine if the solution provider is well-versed in applicable laws and regulations that apply in the institution's region of business operation.</t>
  </si>
  <si>
    <t xml:space="preserve">If a solution provider is vague in their response, follow up with direct questions about doing business in your state/region/country and any laws that are pertinent to the institution.</t>
  </si>
  <si>
    <t xml:space="preserve">Can you accommodate encryption requirements using open standards?</t>
  </si>
  <si>
    <t xml:space="preserve">Do you have a documented systems development life cycle (SDLC)?</t>
  </si>
  <si>
    <t xml:space="preserve">State any plans to implement an SDLC.</t>
  </si>
  <si>
    <t xml:space="preserve">Briefly summarize your SDLC or provide a link or attachment.</t>
  </si>
  <si>
    <t xml:space="preserve">Mature solution lifecycle management can position a solution provider to sufficiently plan, implement, and manage systems that better protect institutional data.</t>
  </si>
  <si>
    <t xml:space="preserve">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</si>
  <si>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 xml:space="preserve">Do you perform background screenings or multi-state background checks on all employees prior to their first day of work?</t>
  </si>
  <si>
    <t xml:space="preserve">State plans to implement background check elements into your hiring process.</t>
  </si>
  <si>
    <t xml:space="preserve">Summarize your background check practices.</t>
  </si>
  <si>
    <t xml:space="preserve">The use of detective and preventive controls in the hiring process serves a valuable role in protecting institutional data. As these are often HR documented policies, a solution provider should have their practices well-documented and ready for review, upon request.</t>
  </si>
  <si>
    <t xml:space="preserve">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</si>
  <si>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 xml:space="preserve">Do you require new employees to fill out agreements and review policies?</t>
  </si>
  <si>
    <t xml:space="preserve">Summarize why new employees are not required to accept agreements or review policy.</t>
  </si>
  <si>
    <t xml:space="preserve">Summarize the required agreements and reviewed policies.</t>
  </si>
  <si>
    <t xml:space="preserve">Setting the expectation of performance and increasing awareness of security-related responsibilities are part of these initial-hiring documents. Oftentimes these agreements and reviews are conducted during orientation for new employees.</t>
  </si>
  <si>
    <t xml:space="preserve">If a solution provider's practices are not clear, inquire about training requirements for employees, especially the frequency and scope of content.</t>
  </si>
  <si>
    <t xml:space="preserve">Do you have a documented information security policy?</t>
  </si>
  <si>
    <t xml:space="preserve">State plans to implement information security policy at your company.</t>
  </si>
  <si>
    <t xml:space="preserve">Provide a reference to your information security policy or submit documentation with this fully populated HECVAT.</t>
  </si>
  <si>
    <t xml:space="preserve">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</si>
  <si>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 xml:space="preserve">If the solution provider does not have an incident response plan, point them to the NIST Computer Security Incident Handling Guide &lt;https://csrc.nist.gov/publications/detail/sp/800-61/rev-2/final&gt;.</t>
  </si>
  <si>
    <t xml:space="preserve">Are information security principles designed into the product lifecycle?</t>
  </si>
  <si>
    <t xml:space="preserve">State why security principles are not designed into the product lifecycle.</t>
  </si>
  <si>
    <t xml:space="preserve">Summarize the information security principles designed into the product lifecycle.</t>
  </si>
  <si>
    <t xml:space="preserve">Will you comply with applicable breach notification laws?</t>
  </si>
  <si>
    <t xml:space="preserve">Summarize why you will not comple with applicable breach notification laws.</t>
  </si>
  <si>
    <t xml:space="preserve">State how quickly the institution will be notified of a data breach or security incident.</t>
  </si>
  <si>
    <t xml:space="preserve">Do you have an information security awareness program?</t>
  </si>
  <si>
    <t xml:space="preserve">State plans to implement an information security awareness program.</t>
  </si>
  <si>
    <t xml:space="preserve">Summarize your information security awareness program.</t>
  </si>
  <si>
    <t xml:space="preserve">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</si>
  <si>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 xml:space="preserve">Follow-up inquiries for information security awareness programs will be institution/implementation specific.</t>
  </si>
  <si>
    <t xml:space="preserve">Is security awareness training mandatory for all employees?</t>
  </si>
  <si>
    <t xml:space="preserve">State plans to make security awareness training mandatory for all employees.</t>
  </si>
  <si>
    <t xml:space="preserve">Summarize your security awareness training content and state how frequently employees are required to undergo security awareness training.</t>
  </si>
  <si>
    <t xml:space="preserve">Do you have process and procedure(s) documented, and currently followed, that require a review and update of the access list(s) for privileged accounts?</t>
  </si>
  <si>
    <t xml:space="preserve">Describe plans to implement privileged account access list reviews to your environment.</t>
  </si>
  <si>
    <t xml:space="preserve">Provide a brief summary and the implement review interval.</t>
  </si>
  <si>
    <t xml:space="preserve">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</si>
  <si>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 xml:space="preserve">Ask the solution provider to summarize their implemented policies and/or procedures.</t>
  </si>
  <si>
    <t xml:space="preserve">Do you have documented, and currently implemented, internal audit processes and procedures?</t>
  </si>
  <si>
    <t xml:space="preserve">State plans to document and implement internal audit process and procedure in your environment.</t>
  </si>
  <si>
    <t xml:space="preserve">Summarize your internal audit processes and procedures.</t>
  </si>
  <si>
    <t xml:space="preserve">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</si>
  <si>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 xml:space="preserve">Follow-up inquiries for internal audit processes and procedures will be institution/implementation specific.</t>
  </si>
  <si>
    <t xml:space="preserve">Does your organization have physical security controls and policies in place?</t>
  </si>
  <si>
    <t xml:space="preserve">Describe your intent to implement physical security controls and policies.</t>
  </si>
  <si>
    <t xml:space="preserve">Provide a copy of your physical security controls and policies along with this document (link or attached).</t>
  </si>
  <si>
    <t xml:space="preserve">This question aims to understand the physical security state of the solution provider's operating environment and whether or not physical assets are appropriately protected.</t>
  </si>
  <si>
    <t xml:space="preserve">Follow-up inquiries for physical security controls and policies will be institution/implementation specific.</t>
  </si>
  <si>
    <t xml:space="preserve">Do you have a formal incident response plan?</t>
  </si>
  <si>
    <t xml:space="preserve">State plans to formalize an incident response plan.</t>
  </si>
  <si>
    <t xml:space="preserve">Summarize or provide a link to your formal incident response plan.</t>
  </si>
  <si>
    <t xml:space="preserve">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</si>
  <si>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 xml:space="preserve">If the solution provider does not have an incident response plan, direct them to the NIST Computer Security Incident Handling Guide &lt;https://csrc.nist.gov/publications/detail/sp/800-61/rev-2/final&gt;.</t>
  </si>
  <si>
    <t xml:space="preserve">Do you either have an internal incident response team or retain an external team?</t>
  </si>
  <si>
    <t xml:space="preserve">Describe your timeline for implementing such a process for response and reporting.</t>
  </si>
  <si>
    <t xml:space="preserve">Summarize your incident response and reporting processes.</t>
  </si>
  <si>
    <t xml:space="preserve">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</si>
  <si>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 xml:space="preserve">Do you have the capability to respond to incidents on a 24 x 7 x 365 basis?</t>
  </si>
  <si>
    <t xml:space="preserve">State plans for acquiring internal resources or an external team.</t>
  </si>
  <si>
    <t xml:space="preserve">Summarize your internal approach or reference your third-party contractor.</t>
  </si>
  <si>
    <t xml:space="preserve">The incident team structure (internal vs. external), size, and capabilities of a solution provider have a significant impact on their ability to respond to and protect an institution's data. Use the knowledge of this response when evaluating other solution provider statements.</t>
  </si>
  <si>
    <t xml:space="preserve">If the solution provider does not have an incident response team, direct them to the NIST Computer Security Incident Handling Guide &lt;https://csrc.nist.gov/publications/detail/sp/800-61/rev-2/final&gt;.</t>
  </si>
  <si>
    <t xml:space="preserve">Do you carry cyber-risk insurance to protect against unforeseen service outages, data that is lost or stolen, and security incidents?</t>
  </si>
  <si>
    <t xml:space="preserve">State plans to implement coverage in the future or how you can provide breach/liabilty coverage to the institution without it.</t>
  </si>
  <si>
    <t xml:space="preserve">Describe the coverage in place for this solution.</t>
  </si>
  <si>
    <t xml:space="preserve">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</si>
  <si>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 xml:space="preserve">Are your systems and applications scanned with an authenticated user account for vulnerabilities (that are remediated) prior to new releases?*</t>
  </si>
  <si>
    <t xml:space="preserve">Describe plans to implement application vulnerability scanning (and remediation) prior to release.</t>
  </si>
  <si>
    <t xml:space="preserve">Provide a brief description.</t>
  </si>
  <si>
    <t xml:space="preserve">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</si>
  <si>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 xml:space="preserve">Ask if there are plans to implement these processes. Ask the solution provider to summarize their decision behind not scanning their applications for vulnerabilities prior to release.</t>
  </si>
  <si>
    <t xml:space="preserve">Will you provide results of application and system vulnerability scans to the institution?*</t>
  </si>
  <si>
    <t xml:space="preserve">Describe why security scan results will not be provided to the institution.</t>
  </si>
  <si>
    <t xml:space="preserve">Provide a reference to security scan documentation.</t>
  </si>
  <si>
    <t xml:space="preserve">If a solution provider is scanning its applications and/or systems, oftentimes an institution will want to review the report, if possible. Preferably, any finding on the reports will have a matching mitigation action.</t>
  </si>
  <si>
    <t xml:space="preserve">If a solution provider is hesitant to share the report, ask for a summarized version; some insight is better than none.</t>
  </si>
  <si>
    <t xml:space="preserve">Will you allow the institution to perform its own vulnerability testing and/or scanning of your systems and/or application, provided that testing is performed at a mutually agreed upon time and date?*</t>
  </si>
  <si>
    <t xml:space="preserve">Provide a brief summary for your response.</t>
  </si>
  <si>
    <t xml:space="preserve">Provide reference to the process or procedure to set up security testing times and scopes.</t>
  </si>
  <si>
    <t xml:space="preserve">Many higher education institutions are capable of performing vulnerability assessments and/or penetration testing on their solution providers' infrastructures. This question confirms the possibility of conducting these actions against the solution provider's infrastructure.</t>
  </si>
  <si>
    <t xml:space="preserve">Follow-up inquiries for vulnerability scanning and penetration testing will be institution/implementation specific.</t>
  </si>
  <si>
    <t xml:space="preserve">Have your systems and applications had a third-party security assessment completed in the last year?</t>
  </si>
  <si>
    <t xml:space="preserve">State plans to have your systems and applications assessed by a third party.</t>
  </si>
  <si>
    <t xml:space="preserve">Provide the results with this document (link or attached), if possible. State the date of the last completed third-party security assessment.</t>
  </si>
  <si>
    <t xml:space="preserve">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</si>
  <si>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 xml:space="preserve">Ask if there has ever been a vulnerability scan. A short lapse in external assessment validity can be understood (if there is a planned assessment), but a significant time lapse or no scan whatsoever is cause for elevated levels of concern.</t>
  </si>
  <si>
    <t xml:space="preserve">Do you regularly scan for common web application security vulnerabilities (e.g., SQL injection, XSS, XSRF, etc.)?</t>
  </si>
  <si>
    <t xml:space="preserve">Ensure that all elements of VULN-05 are clearly stated in your response.</t>
  </si>
  <si>
    <t xml:space="preserve">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</si>
  <si>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 xml:space="preserve">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</si>
  <si>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 xml:space="preserve">Are your systems and applications regularly scanned externally for vulnerabilities?</t>
  </si>
  <si>
    <t xml:space="preserve">Describe any plans to implement external vulnerability scanning for your applications.</t>
  </si>
  <si>
    <t xml:space="preserve">Decribe your external application vulnerability scanning strategy.</t>
  </si>
  <si>
    <t xml:space="preserve">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</si>
  <si>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 xml:space="preserve">If "no," inquire if there has ever been a vulnerability scan. A short lapse in external assessment validity can be understood (if there is a planned assessment), but a significant time lapse or no scan whatsoever is cause for elevated levels of concern.</t>
  </si>
  <si>
    <t xml:space="preserve">Do your workforce members receive regular training related to the Health Insurance Portability and Accountability Act (HIPAA) Privacy and Security Rules and the HITECH Act?*</t>
  </si>
  <si>
    <t xml:space="preserve">Case-specific</t>
  </si>
  <si>
    <t xml:space="preserve">If REQU-05 is no, populate solution provider answer with B6 in Auto Responses tab</t>
  </si>
  <si>
    <t xml:space="preserve">Refer to HIPAA regulations documentation for supplemental guidance in this section.</t>
  </si>
  <si>
    <t xml:space="preserve">HIPAA</t>
  </si>
  <si>
    <t xml:space="preserve">Refer to HIPAA documentation or your institution's Chief HIPAA Security Officer.</t>
  </si>
  <si>
    <t xml:space="preserve">Have you identified areas of risk?*</t>
  </si>
  <si>
    <t xml:space="preserve">Have the relevant policies/plans been tested?*</t>
  </si>
  <si>
    <t xml:space="preserve">Have you entered into a Business Associate Agreements with all subcontractors who may have access to protected health information (PHI)?*</t>
  </si>
  <si>
    <t xml:space="preserve">Do you monitor or receive information regarding changes in HIPAA regulations?</t>
  </si>
  <si>
    <t xml:space="preserve">Has your organization designated HIPAA Privacy and Security officers as required by the rules?</t>
  </si>
  <si>
    <t xml:space="preserve">Do you comply with the requirements of the Health Information Technology for Economic and Clinical Health Act (HITECH)?</t>
  </si>
  <si>
    <t xml:space="preserve">Have you conducted a risk analysis as required under the HIPAA Security Rule?</t>
  </si>
  <si>
    <t xml:space="preserve">Have you taken actions to mitigate the identified risks?</t>
  </si>
  <si>
    <t xml:space="preserve">Does your application require user and system administrator password changes at a frequency no greater than 90 days?</t>
  </si>
  <si>
    <t xml:space="preserve">Does your application require users to set their own password after an administrator reset or on first use of the account?</t>
  </si>
  <si>
    <t xml:space="preserve">Does your application lock out an account after a number of failed login attempts?</t>
  </si>
  <si>
    <t xml:space="preserve">Does your application automatically lock or log-out an account after a period of inactivity?</t>
  </si>
  <si>
    <t xml:space="preserve">Are passwords visible in plain text, whether when stored or entered, including service level accounts (i.e., database accounts, etc.)?</t>
  </si>
  <si>
    <t xml:space="preserve">If the application is institution-hosted, can all service level and administrative account passwords be changed by the institution?</t>
  </si>
  <si>
    <t xml:space="preserve">Does your application provide the ability to define user access levels?</t>
  </si>
  <si>
    <t xml:space="preserve">Does your application support varying levels of access to administrative tasks defined individually per user?</t>
  </si>
  <si>
    <t xml:space="preserve">Does your application support varying levels of access to records based on user ID?</t>
  </si>
  <si>
    <t xml:space="preserve">Is there a limit to the number of groups to which a user can be assigned?</t>
  </si>
  <si>
    <t xml:space="preserve">Do accounts used for solution provider-supplied remote support abide by the same authentication policies and access logging as the rest of the system?</t>
  </si>
  <si>
    <t xml:space="preserve">Does the application log record access including specific user, date/time of access, and originating IP or device?</t>
  </si>
  <si>
    <t xml:space="preserve">Does the application log administrative activity, such as user account access changes and password changes, including specific user, date/time of changes, and originating IP or device?</t>
  </si>
  <si>
    <t xml:space="preserve">Do you retain logs for at least as long as required by HIPAA regulations?</t>
  </si>
  <si>
    <t xml:space="preserve">List how long you retain relevant logs. </t>
  </si>
  <si>
    <t xml:space="preserve">Can the application logs be archived?</t>
  </si>
  <si>
    <t xml:space="preserve">Can the application logs be saved externally?</t>
  </si>
  <si>
    <t xml:space="preserve">Do you have a disaster recovery plan and emergency mode operation plan?</t>
  </si>
  <si>
    <t xml:space="preserve">Can you provide a HIPAA compliance attestation document?</t>
  </si>
  <si>
    <t xml:space="preserve">Are you willing to enter into a Business Associate Agreement (BAA)?</t>
  </si>
  <si>
    <t xml:space="preserve">Do your data backup and retention policies and practices meet HIPAA requirements?</t>
  </si>
  <si>
    <t xml:space="preserve">Do you have a current, executed within the past year, Attestation of Compliance (AoC) or Report on Compliance (RoC)?*</t>
  </si>
  <si>
    <t xml:space="preserve">If REQU-06 is no, populate solution provider answer with B7 in Auto Responses tab</t>
  </si>
  <si>
    <t xml:space="preserve">Refer to PCI DSS Security Standards for supplemental guidance in this section</t>
  </si>
  <si>
    <t xml:space="preserve">PCI DSS</t>
  </si>
  <si>
    <t xml:space="preserve">Refer to PCI DSS documentation or your institution's treasurer's office.</t>
  </si>
  <si>
    <t xml:space="preserve">Is the application listed as an approved Payment Application Data Security Standard (PA-DSS) application?*</t>
  </si>
  <si>
    <t xml:space="preserve">Does the system or solutions use a third party to collect, store, process, or transmit cardholder (payment/credit/debt card) data?*</t>
  </si>
  <si>
    <t xml:space="preserve">Do your systems or solutions store, process, or transmit cardholder (payment/credit/debt card) data?</t>
  </si>
  <si>
    <t xml:space="preserve">Are you compliant with the Payment Card Industry Data Security Standard (PCI DSS)?</t>
  </si>
  <si>
    <t xml:space="preserve">Are you classified as a service provider?</t>
  </si>
  <si>
    <t xml:space="preserve">Are you on the list of Visa approved service providers?</t>
  </si>
  <si>
    <t xml:space="preserve">Are you classified as a merchant? If so, what level (1, 2, 3, 4)?</t>
  </si>
  <si>
    <t xml:space="preserve">Describe the architecture employed by the system to verify and authorize credit card transactions.</t>
  </si>
  <si>
    <t xml:space="preserve">What payment processors/gateways does the system support?</t>
  </si>
  <si>
    <t xml:space="preserve">Can the application be installed in a PCI DSS–compliant manner?</t>
  </si>
  <si>
    <t xml:space="preserve">Include documentation describing the system's abilities to comply with the PCI DSS and any features or capabilities of the system that must be added or changed in order to operate in compliance with the standards.</t>
  </si>
  <si>
    <t xml:space="preserve">Do you support role-based access control (RBAC) for system administrators?</t>
  </si>
  <si>
    <t xml:space="preserve">If REQU-07 is no, populate solution provider answer with B8 in Auto Responses tab</t>
  </si>
  <si>
    <t xml:space="preserve">Describe any limitations to your roles-based approach.</t>
  </si>
  <si>
    <t xml:space="preserve">Describe your RBAC.</t>
  </si>
  <si>
    <t xml:space="preserve">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</si>
  <si>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 xml:space="preserve">Ask the solution provider to summarize the best practices for securing their system(s) administratively without the use of RBAC. Make sure to understand the administrative requirements/overhead introduced in the solution provider's environment.</t>
  </si>
  <si>
    <t xml:space="preserve">Can your employees access customer systems remotely?</t>
  </si>
  <si>
    <t xml:space="preserve">Describe the tools and technical controls implemented to secure remote access.</t>
  </si>
  <si>
    <t xml:space="preserve">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</si>
  <si>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 xml:space="preserve">Ask the solution provider to summarize the reasoning behind this business process and request additional documentation that outlines the security controls implemented to safeguard institutional data.</t>
  </si>
  <si>
    <t xml:space="preserve">Can you provide overall system and/or application architecture diagrams including a full description of the data communications architecture for all components of the system?</t>
  </si>
  <si>
    <t xml:space="preserve">State any plans to provide system and/or application architecture diagrams.</t>
  </si>
  <si>
    <t xml:space="preserve">Provide a reference to the requested documents or provide them when submitting this fully populated HECVAT.</t>
  </si>
  <si>
    <t xml:space="preserve">Many systems can be used a variety of ways. We want these implementation type diagrams so that we can understand the "real" use of the solution.</t>
  </si>
  <si>
    <t xml:space="preserve">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</si>
  <si>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 xml:space="preserve">Do you require remote management of the system?</t>
  </si>
  <si>
    <t xml:space="preserve">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</si>
  <si>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 xml:space="preserve">If you answered "yes" to OPEM-04, are your remote actions and changes logged or otherwise visible to the campus?</t>
  </si>
  <si>
    <t xml:space="preserve">Describe how these logs are made available.</t>
  </si>
  <si>
    <t xml:space="preserve">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</si>
  <si>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 xml:space="preserve">If a weak response is given to this answer, it is appropriate to ask directed answers to get specific information. Ensure that questions are targeted to ensure responses will come from the appropriate party within the solution provider.</t>
  </si>
  <si>
    <t xml:space="preserve">If you maintain remote access to the system, will you handle data in a FERPA-compliant manner?</t>
  </si>
  <si>
    <t xml:space="preserve">State plans to handle data in a FERPA-compliant manner.</t>
  </si>
  <si>
    <t xml:space="preserve">Describe how FERPA compliance is integrated into your process and procedures.</t>
  </si>
  <si>
    <t xml:space="preserve">This is standard documentation, relevant to institution implementations requiring FERPA compliance.</t>
  </si>
  <si>
    <t xml:space="preserve">Follow-up inquiries for FERPA compliance details will be institution/implementation specific.</t>
  </si>
  <si>
    <t xml:space="preserve">Do you support campus status monitoring through SNMPv3 or other means?</t>
  </si>
  <si>
    <t xml:space="preserve">Describe your plans to support monitoring.</t>
  </si>
  <si>
    <t xml:space="preserve">Please describe your monitoring support.</t>
  </si>
  <si>
    <t xml:space="preserve">Standard documentation question. With an on-premise device, the possibility to tie-in with existing monitoring/management systems is beneficial. The solution provider's response should be clear and concise.</t>
  </si>
  <si>
    <t xml:space="preserve">Follow-up inquiries for monitoring via SNMPv3 will be institution/implementation specific.</t>
  </si>
  <si>
    <t xml:space="preserve">Describe or provide a reference to any other safeguards used to monitor for malicious activity.</t>
  </si>
  <si>
    <t xml:space="preserve">Please detail your monitoring strategy</t>
  </si>
  <si>
    <t xml:space="preserve">This question is primarily focused on system(s) integrity and confidentiality. The solution provider's response should clearly state the system(s) capabilities to properly monitor for (and alert for) malicious activity.</t>
  </si>
  <si>
    <t xml:space="preserve">Follow-up inquiries for system monitoring will be institution/implementation specific.</t>
  </si>
  <si>
    <t xml:space="preserve">Describe how long your organization has conducted business in this area.</t>
  </si>
  <si>
    <t xml:space="preserve">Include the number of years and in what capacity.</t>
  </si>
  <si>
    <t xml:space="preserve">We want to establish longevity of a solution and whether or not a solution provider is new to the higher education space.</t>
  </si>
  <si>
    <t xml:space="preserve">Normally a solution provider will state their overall longevity but not talk about the software/service/product under evaluation. Follow-ups includes specific questions about the origins of the software/service/product and references will be requested.</t>
  </si>
  <si>
    <t xml:space="preserve">Do you have existing higher education customers?</t>
  </si>
  <si>
    <t xml:space="preserve">State your primary industry.</t>
  </si>
  <si>
    <t xml:space="preserve">Provide a list of higher education references, with contact information.</t>
  </si>
  <si>
    <t xml:space="preserve">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</si>
  <si>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 xml:space="preserve">A simple "yes" without any references or supporting information should be questioned. Question the size of institutions that are using the solution and the scope of their implementations.</t>
  </si>
  <si>
    <t xml:space="preserve">Does your solution process FERPA-related data?</t>
  </si>
  <si>
    <t xml:space="preserve">FERPA-related data includes any data maintained by (or on behalf of) the institution that is directly related to an identifiable student.</t>
  </si>
  <si>
    <t xml:space="preserve">Provide documentation on the types of FERPA data you process and for what purpose, including data unrelated to service delivery such as marketing.</t>
  </si>
  <si>
    <t xml:space="preserve">This question will help the institution gain an understanding of the types of data processed by this product or service.</t>
  </si>
  <si>
    <t xml:space="preserve">Will data be re-disclosed and/or used for any purpose other than directly providing the service, including quality assurance or marketing?</t>
  </si>
  <si>
    <t xml:space="preserve">Does your solution process GDPR-related or PIPL-related data?</t>
  </si>
  <si>
    <t xml:space="preserve">GDPR data includes any data related to an identified or identifiable natural person physically located in the European Economic Area (EEA).
PIPL-related data includes any personal data related to an identified or identifiable person located in the People's Republic of China (PRC)</t>
  </si>
  <si>
    <t xml:space="preserve">Provide documentation of any processes or policies that address compliance with GDPR and/or PIPL as appropriate.</t>
  </si>
  <si>
    <t xml:space="preserve">Does your solution process personal data regulated by state law(s) (e.g., CCPA)?</t>
  </si>
  <si>
    <t xml:space="preserve">Provide documentation of any processes or policies that address compliance with applicable state laws.</t>
  </si>
  <si>
    <t xml:space="preserve">Does your solution process user-provided data that may contain regulated information?</t>
  </si>
  <si>
    <t xml:space="preserve">Identify any applicable regulations and provide documentation of any processes or policies that address compliance with each.</t>
  </si>
  <si>
    <t xml:space="preserve">Web Link to Product/Service Privacy Notice</t>
  </si>
  <si>
    <t xml:space="preserve">Neutral until evaluated</t>
  </si>
  <si>
    <t xml:space="preserve">If multiple notices are implicated, provide all that apply. If any other documents are incorporated by reference, provide them as well.</t>
  </si>
  <si>
    <t xml:space="preserve">Have you had a personal data breach in the past three years that involved reporting to a governmental agency, notice to individuals (including voluntary notice), or notice to another organization or institution?*</t>
  </si>
  <si>
    <t xml:space="preserve">Please provide details as to the nature of the breach and the remediation conducted.</t>
  </si>
  <si>
    <t xml:space="preserve">Having a previous data breach can indicate a level of risk that will indicate that the instituion should further investigate changes made after the breach.</t>
  </si>
  <si>
    <t xml:space="preserve">Use this area to share information about your privacy practices that will assist those who are assessing your company data privacy program.*</t>
  </si>
  <si>
    <t xml:space="preserve">Share any additional details that would help data privacy analysts assess your solution.</t>
  </si>
  <si>
    <t xml:space="preserve">Have you had any violations of your internal privacy policies or violations of applicable privacy law in the past 36 months?</t>
  </si>
  <si>
    <t xml:space="preserve">Provide documentation about the nature of the violation(s) and any remediative action taken.
</t>
  </si>
  <si>
    <t xml:space="preserve">This question solicits information about internal privacy policy violations and/or violations of applicable privacy law in the past three years.</t>
  </si>
  <si>
    <t xml:space="preserve">Do you have a dedicated data privacy staff or office?</t>
  </si>
  <si>
    <t xml:space="preserve">This can include another office, such as information security, dedicated to privacy protection.</t>
  </si>
  <si>
    <t xml:space="preserve">Describe who is responsible for data privacy, including department, size, talents, resources, etc.</t>
  </si>
  <si>
    <t xml:space="preserve">Describe your data privacy office, including size, talents, resources, etc.</t>
  </si>
  <si>
    <t xml:space="preserve">Any solution provider processing protected student data should have resources/staff dedicated to the protection of the data.</t>
  </si>
  <si>
    <t xml:space="preserve">If you have completed a SOC 2 audit, does it include the Privacy Trust Service Principle?</t>
  </si>
  <si>
    <t xml:space="preserve">SOC 2 Type II audits can be conducted for any or all of five trust principles (confidentiality, integrity, availability, security, and privacy). Answer "yes" if your audit included the privacy principle.</t>
  </si>
  <si>
    <t xml:space="preserve">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</si>
  <si>
    <t xml:space="preserve">Please indicate whether your organization will allow clients to review current SOC 2 Type II reports and, if so, how the reports will be made available in a timely manner.</t>
  </si>
  <si>
    <t xml:space="preserve">This is specifically asking for the Privacy Trust Service Principle, which is not always included in a SOC 2 audit.</t>
  </si>
  <si>
    <t xml:space="preserve">Do you conform with a specific industry-standard privacy framework (e.g., NIST Privacy Framework, GDPR, ISO 27701)?</t>
  </si>
  <si>
    <t xml:space="preserve">Standard privacy frameworks help organizations enhance data protection, mitigate privacy risks, and demonstrate compliance with appropriate industry and regulatory standards. This is particularly important when providing services in different jurisdictions.</t>
  </si>
  <si>
    <t xml:space="preserve">Please provide any plans to conform with one or more of the industry-standard frameworks, including anticipated timelines, and indicate which framework(s) will be used.</t>
  </si>
  <si>
    <t xml:space="preserve">Indicate which framework(s) are followed; provide documentation on how your organization conforms to your chosen framework(s) and indicate current certification levels, where appropriate.</t>
  </si>
  <si>
    <t xml:space="preserve">Conformance with industry privacy frameworks can demonstrate an organization's privacy posture and can provide clients a sense of comfort as to the organization's commitment to protection of personal data.</t>
  </si>
  <si>
    <t xml:space="preserve">If the organization relies on more than one framework or only on portions of a framework, has this been mapped to the Security Controls Framework? If so, please provide a copy of the mapping used.</t>
  </si>
  <si>
    <t xml:space="preserve">Does your employee onboarding and offboarding policy include training of employees on information security and data privacy?</t>
  </si>
  <si>
    <t xml:space="preserve">Please provide any plans to develop and implement appropriate employee training as part of onboarding and offboarding.
If no plans currently exist, please provide information on any compensating measures your organization takes to address this issue.</t>
  </si>
  <si>
    <t xml:space="preserve">Provide an overview of your organization's relevant onboarding/offboarding policy and employee training on information security and privacy.</t>
  </si>
  <si>
    <t xml:space="preserve">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thier obligations to maintain protection and privacy of personal data they may have been privy to in the course of their employment with your organization.</t>
  </si>
  <si>
    <t xml:space="preserve">If training is provided to specific employee groups only, please provide information as to which groups and an overview of the training for each group.</t>
  </si>
  <si>
    <t xml:space="preserve">Do you have contractual agreements with third parties that require them to maintain standards and to comply with all regulatory requirements?*</t>
  </si>
  <si>
    <t xml:space="preserve">Inclusion of language in contractual agreements ensures third parties are aware of and have agreed to their obligations to maintain standards and comply with all regulatory requirements in regards to protection of personal data they handle on behalf of your organization.</t>
  </si>
  <si>
    <t xml:space="preserve">State your plans to ensure appropriate language is included in new and renewed contracts. State how your organization ensures that third parties maintain standards and comply with all regulatory requirements without contractual agreements to do so.</t>
  </si>
  <si>
    <t xml:space="preserve">Provide a summary of the contractual language used and your processes for ensuring appropriate language is regularly reviewed and is included in both new and renewed agreements.</t>
  </si>
  <si>
    <t xml:space="preserve">Inclusion of language in contractual agreements ensures third parties are aware of and have agreed to their obligations to maintain standards and comply with all regulatory requirements in regards to protection of personal data they handle on behalf of the organization.</t>
  </si>
  <si>
    <t xml:space="preserve">Do you perform privacy impact assesments of third parties that collect, process, or have access to personal data to ensure they meet industry and regulatory standards and to mitigate harmful, unethical, or discriminatory impacts on data subjects?</t>
  </si>
  <si>
    <t xml:space="preserve">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</si>
  <si>
    <t xml:space="preserve">State your plans to perform data privacy assessments of third parties, including anticipated timelines and remediations if existing third parties cannot maintain or ensure privacy and security of client data entrusted to your organization.</t>
  </si>
  <si>
    <t xml:space="preserve">Provide a summary of your practices that assures that the third party will be subject to the appropriate standards regarding data privacy.</t>
  </si>
  <si>
    <t xml:space="preserve">Please explain why this does not apply to your organization, product, or service.</t>
  </si>
  <si>
    <t xml:space="preserve">The organization providing a product or service cannot reasonably claim it appropriately protects privacy of information entrusted to it if it relies on third parties or subprocessors that do not likewise meet or exceed the claimed levels of protection.</t>
  </si>
  <si>
    <t xml:space="preserve">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</si>
  <si>
    <t xml:space="preserve">Does your change management process include privacy review and approval?</t>
  </si>
  <si>
    <t xml:space="preserve">The change management process minimizes disruption and maximizes benefits and should contain a privacy review process.</t>
  </si>
  <si>
    <t xml:space="preserve">Please describe your process for privacy review.</t>
  </si>
  <si>
    <t xml:space="preserve">It is important that change management not overlook any privacy considerations.</t>
  </si>
  <si>
    <t xml:space="preserve">If the answer is yes, describe the process; if the answer is no, describe plans to implement.</t>
  </si>
  <si>
    <t xml:space="preserve">Do you have policy and procedure, currently implemented, guiding how privacy risks are mitigated until they can be resolved?</t>
  </si>
  <si>
    <t xml:space="preserve">Policy and procedure should include specific steps to take in the process of mitigating privacy risks.</t>
  </si>
  <si>
    <t xml:space="preserve">Please provide an overview of privacy risk mitigation.</t>
  </si>
  <si>
    <t xml:space="preserve">It is important to have a procedure in place to mitiage privacy risks as they come up.</t>
  </si>
  <si>
    <t xml:space="preserve">Do you collect, process, or store demographic information?*</t>
  </si>
  <si>
    <t xml:space="preserve">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</si>
  <si>
    <t xml:space="preserve">Describe which demographic information you handle and the source of the requirements, if applicable.</t>
  </si>
  <si>
    <t xml:space="preserve">This data can be included in data sets that are deidentified but is sensitive data that could be reidentified if paired with other data points.</t>
  </si>
  <si>
    <t xml:space="preserve">Because of the nature of such data, it is important to have a full understanding of how the data is used and protected.</t>
  </si>
  <si>
    <t xml:space="preserve">Do you capture or create genetic, biometric, or behaviometric information (e.g., facial recognition or fingerprints)?*</t>
  </si>
  <si>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</si>
  <si>
    <t xml:space="preserve">Briefly summarize your use of such information and the protection thereof.</t>
  </si>
  <si>
    <t xml:space="preserve">Do you combine institutional data (including "de-identified," "anonymized," or otherwise masked data) with personal data from any other sources?*</t>
  </si>
  <si>
    <t xml:space="preserve">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</si>
  <si>
    <t xml:space="preserve">Describe the other sources and provide a list of elements, including any keys that connect the datasets.</t>
  </si>
  <si>
    <t xml:space="preserve">Is institutional data coming into or going out of the United States at any point during collection, processing, storage, or archiving?</t>
  </si>
  <si>
    <t xml:space="preserve">Given the vast number of privacy regulations and laws throughout the world, it is important to know when, where, why, and how institutional data is being shared outside the United States. This information is necessary to ensure compliance and to protect the institutional data.</t>
  </si>
  <si>
    <t xml:space="preserve">Describe where and whether you comply with the laws of that jurisdiction.</t>
  </si>
  <si>
    <t xml:space="preserve">Do you capture device information (e.g., IP address, MAC address)?</t>
  </si>
  <si>
    <t xml:space="preserve">Device information can be captured for a variety of reasons, from analytics to marketing to network management and security. It is important to know the details in order to be clear on the privacy implications.</t>
  </si>
  <si>
    <t xml:space="preserve">Describe what information you collect and the reason for collecting it.</t>
  </si>
  <si>
    <t xml:space="preserve">This question can clarify whether there are any indirect identifiers that don't appear to be readily identifiable but that could be identifiable in the event of unauthorized access or use.</t>
  </si>
  <si>
    <t xml:space="preserve">Does any part of this service/project involve a web/app tracking component (e.g., use of web-tracking pixels, cookies)?</t>
  </si>
  <si>
    <t xml:space="preserve">Web tracking can be used to identify users via their IP address, login information, browser information, etc.</t>
  </si>
  <si>
    <t xml:space="preserve">Describe the tracking component and what is done with the information.</t>
  </si>
  <si>
    <t xml:space="preserve">Does your staff (or a third party) have access to institutional data (e.g., financial, PHI, or other sensitive information) through any means?</t>
  </si>
  <si>
    <t xml:space="preserve">Accessing institutional data may be necessary for legitimate business purposes.</t>
  </si>
  <si>
    <t xml:space="preserve">Summarize the access that staff (or third parties) have to institutional data.</t>
  </si>
  <si>
    <t xml:space="preserve">Institutional data may be sensitive in nature and should only be accessed for legitimate business purposes.</t>
  </si>
  <si>
    <t xml:space="preserve">Will you handle personal data in a manner compliant with all relevant laws, regulations, and applicable institution policies?</t>
  </si>
  <si>
    <t xml:space="preserve">If no, why not? Are there plans for this to be implemented and, if so, when?</t>
  </si>
  <si>
    <t xml:space="preserve">Personal data that is handled improperly or against law/regulation can have significant negative impact.</t>
  </si>
  <si>
    <t xml:space="preserve">Do you have a documented privacy management process?</t>
  </si>
  <si>
    <t xml:space="preserve">Are there plans to implement? If so, when will this be completed?</t>
  </si>
  <si>
    <t xml:space="preserve">Describe privacy management process or provide links or attach documentation.</t>
  </si>
  <si>
    <t xml:space="preserve">It's important for customers to know their data will remain private after being shared with the vendor.</t>
  </si>
  <si>
    <t xml:space="preserve">Are your internal privacy practices and obligations documented in internal corporate privacy policy/policies? Does the internal privacy policy explain your organization's policies and practices regarding collection of personal information and other data about individuals?</t>
  </si>
  <si>
    <t xml:space="preserve">Are privacy principles designed into the product lifecycle (i.e., privacy-by-design)?</t>
  </si>
  <si>
    <t xml:space="preserve">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</si>
  <si>
    <t xml:space="preserve">State why principles are not designed into the product lifecycle.</t>
  </si>
  <si>
    <t xml:space="preserve">Summarize the privacy principles designed into the product lifecycle.</t>
  </si>
  <si>
    <t xml:space="preserve">Building privacy principles into the product lifecycle (e.g., privacy-by-design) can help ease the privacy management process.</t>
  </si>
  <si>
    <t xml:space="preserve">Provide reason for not complying.</t>
  </si>
  <si>
    <t xml:space="preserve">State how quickly the institution will be notified once a breach is identified, in addition to notifying the necessary governmental agencies based on the extent of the breach.</t>
  </si>
  <si>
    <t xml:space="preserve">It's very important to get out in front of the impact from a system breach. Once a breach has been confirmed, timely communication is imperative.</t>
  </si>
  <si>
    <t xml:space="preserve">This is usually dictated by the government agency for the geographic region and, possibly, by your cybersecurity insurance carrier.</t>
  </si>
  <si>
    <t xml:space="preserve">Will you comply with the institution's policies regarding user privacy and data protection?</t>
  </si>
  <si>
    <t xml:space="preserve">These policies may include specific user consent practices, data classification standards, and handling of sensitive information.</t>
  </si>
  <si>
    <t xml:space="preserve">Explain the legal or operational reasons and offer an alternative policy.</t>
  </si>
  <si>
    <t xml:space="preserve">This question can help gauge a solution provider's willingness to align with institutional data privacy and protection policies before the contracting stage.</t>
  </si>
  <si>
    <t xml:space="preserve">Do any parts of your instituitonal policy conflict with the solution provider's standard practices?</t>
  </si>
  <si>
    <t xml:space="preserve">Is your company subject to the laws and regulations of the institution's geographic region?</t>
  </si>
  <si>
    <t xml:space="preserve">Indicates whether your organization is legally bound by state, federal, or local laws where the institution operates.</t>
  </si>
  <si>
    <t xml:space="preserve">Explain why your operations fall outside the region’s legal scope and how you nevertheless ensure regulatory compliance.</t>
  </si>
  <si>
    <t xml:space="preserve">This question identifies whether the institution and solution provider are beholden to the same laws. If not, this should be covered in the contract.</t>
  </si>
  <si>
    <t xml:space="preserve">Which laws apply to your operations in institution's region? Where is institutional data processed or stored? Provide a link or document summarizing your compliance stance.</t>
  </si>
  <si>
    <t xml:space="preserve">Do you have a privacy awareness/training program?*</t>
  </si>
  <si>
    <t xml:space="preserve">Privacy awareness/training refers to the ongoing education provided to individuals who handle sensitive data to ensure they understand privacy obligations, data protection principles, and regulatory requirements (e.g., FERPA, HIPAA, GDPR).</t>
  </si>
  <si>
    <t xml:space="preserve">Describe plans to include data privacy training or why you have determined it is not needed.</t>
  </si>
  <si>
    <t xml:space="preserve">Briefly describe what is included in the training.</t>
  </si>
  <si>
    <t xml:space="preserve">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</si>
  <si>
    <t xml:space="preserve">Is privacy awareness training mandatory for all employees?</t>
  </si>
  <si>
    <t xml:space="preserve">Describe plans to require.</t>
  </si>
  <si>
    <t xml:space="preserve">Your response should include who must complete the training.</t>
  </si>
  <si>
    <t xml:space="preserve">This question serves a critical purpose in evaluating a vendor or institution’s commitment to data protection, risk mitigation, and regulatory compliance.</t>
  </si>
  <si>
    <t xml:space="preserve">This question helps assess whether privacy is treated as an organizational responsibility and whether the institution enforces consistent practices to reduce human risk factors.</t>
  </si>
  <si>
    <t xml:space="preserve">Is AI privacy and ethics awareness/training required for all employees who work with AI?</t>
  </si>
  <si>
    <t xml:space="preserve">Describe plans to include AI training.</t>
  </si>
  <si>
    <t xml:space="preserve">This question is intended to assess whether an institution or vendor is proactively managing the risks, responsibilities, and ethical implications of AI use, especially as it relates to sensitive data, autonomy, and fairness.</t>
  </si>
  <si>
    <t xml:space="preserve">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</si>
  <si>
    <t xml:space="preserve">Do you have any decision-making processes that are completely automated (i.e., there is no human involvement)?</t>
  </si>
  <si>
    <t xml:space="preserve">Examples of such automated decisions could include automatically denying or approving user access requests, flagging or blocking transactions based on risk scores, or AI-driven decisions that affect user outcomes (e.g., eligibility, grading, pricing).</t>
  </si>
  <si>
    <t xml:space="preserve">Provide information on which decisions are automated and why.</t>
  </si>
  <si>
    <t xml:space="preserve">This question identifies potential privacy, ethical, security, and compliance risks that may arise from fully automated systems, especially those that affect individuals or their data.</t>
  </si>
  <si>
    <t xml:space="preserve">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</si>
  <si>
    <t xml:space="preserve">Do you have a documented process for managing automated processing, including validations, monitoring, and data subject requests?</t>
  </si>
  <si>
    <t xml:space="preserve">Describe plans to implement processes in the future.</t>
  </si>
  <si>
    <t xml:space="preserve">Briefly describe processes.</t>
  </si>
  <si>
    <t xml:space="preserve">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</si>
  <si>
    <t xml:space="preserve">Do you have a documented policy for sharing information with law enforcement?</t>
  </si>
  <si>
    <t xml:space="preserve">Explain any plans to develop a policy. If no plans exist, explain why not.</t>
  </si>
  <si>
    <t xml:space="preserve">Provide a high-level overview of the policy or plans to implement a policy.</t>
  </si>
  <si>
    <t xml:space="preserve">The insitution should know which laws apply to the data to which the solution provider will have access. You should also have a thorough understanding of how requests from law enforcement will be handled.</t>
  </si>
  <si>
    <t xml:space="preserve">Do you share any institutional data with law enforcement without a valid warrant or subpoena?*</t>
  </si>
  <si>
    <t xml:space="preserve">Describe how you ensure this does not occur.</t>
  </si>
  <si>
    <t xml:space="preserve">Describe the circumstances in which you share with law enforcement.</t>
  </si>
  <si>
    <t xml:space="preserve">Does your incident response team include a privacy analyst/officer?</t>
  </si>
  <si>
    <t xml:space="preserve">Provide an overview of your incident response team membership and its charge, highlighting the privacy analyst/officer.</t>
  </si>
  <si>
    <t xml:space="preserve">Explain why not</t>
  </si>
  <si>
    <t xml:space="preserve">Provide the incident response team membership and charge.</t>
  </si>
  <si>
    <t xml:space="preserve">Having a privacy analyst/officer on an incident response team can help the company more quickly identify a breach and comply with applicable notification laws.</t>
  </si>
  <si>
    <t xml:space="preserve">Will data be collected from or processed in or stored in the European Economic Area (EEA)?</t>
  </si>
  <si>
    <t xml:space="preserve">See GDPR Chapter 1, Art. 4, for definitions.</t>
  </si>
  <si>
    <t xml:space="preserve">Describe where and what activities will take place in the EEA.</t>
  </si>
  <si>
    <t xml:space="preserve">Understanding whether the vendor processes data in Europe may help with institutional GDPR compliance.</t>
  </si>
  <si>
    <t xml:space="preserve">If institution's intended use includes targeting of data subjects in EEA/UK and if vendor marks "no," institution might want to follow up to clarify data collected.</t>
  </si>
  <si>
    <t xml:space="preserve">Do you have a data protection officer (DPO)?</t>
  </si>
  <si>
    <t xml:space="preserve">See GDPR Chapter 4, Section 4, for DPO information.</t>
  </si>
  <si>
    <t xml:space="preserve">Provide the name and contact information for the DPO.</t>
  </si>
  <si>
    <t xml:space="preserve">Vendors targeting services in the EEA/UK should have GDPR-compliant policies and procedures.</t>
  </si>
  <si>
    <t xml:space="preserve">Will you sign appropriate GDPR Standard Contractual Clauses (SCCs) with the institution?</t>
  </si>
  <si>
    <t xml:space="preserve">See GDPR Chapter 5, Art. 46, for SCC information.</t>
  </si>
  <si>
    <t xml:space="preserve">Vendors targeting services in the EEA/UK should have the ability to agree to the SCCs.</t>
  </si>
  <si>
    <t xml:space="preserve">Will data be collected from or processed in or stored in China?</t>
  </si>
  <si>
    <t xml:space="preserve">See PIPL Chapter 1 for definitions.</t>
  </si>
  <si>
    <t xml:space="preserve">Describe where and what activities will take place in China.</t>
  </si>
  <si>
    <t xml:space="preserve">Understanding whether the vendor processes data in China may help with institutional PIPL compliance.</t>
  </si>
  <si>
    <t xml:space="preserve">If institution's intended use includes targeting of data subjects in China and if vendor marks "no," institution might want to follow up to clarify data collected.</t>
  </si>
  <si>
    <t xml:space="preserve">Do you comply with PIPL security, privacy, and data localization requirements?</t>
  </si>
  <si>
    <t xml:space="preserve">See PIPL Chapter 5 for requirements.</t>
  </si>
  <si>
    <t xml:space="preserve">Vendors targeting services in China should have the ability to comply with PIPL requirements.</t>
  </si>
  <si>
    <t xml:space="preserve">Have you performed a Data Privacy Impact Assesssment for the solution/project?</t>
  </si>
  <si>
    <t xml:space="preserve">Provide timeline for this or reason not to perform.</t>
  </si>
  <si>
    <t xml:space="preserve">Provide copy, link, or summary overview.</t>
  </si>
  <si>
    <t xml:space="preserve">Do you provide an end-user privacy notice about privacy policies and procedures that identify the purpose(s) for which personal information is collected, used, retained, and disclosed?</t>
  </si>
  <si>
    <t xml:space="preserve">Provide link or copy.</t>
  </si>
  <si>
    <t xml:space="preserve">How do you inform users of changes to the policy?</t>
  </si>
  <si>
    <t xml:space="preserve">Do you describe the choices available to the individual and obtain implicit or explicit consent with respect to the collection, use, and disclosure of personal information?</t>
  </si>
  <si>
    <t xml:space="preserve">Do you collect personal information only for the purpose(s) identified in the agreement with an institution or, if there is none, the purpose(s) identified in the privacy notice?</t>
  </si>
  <si>
    <t xml:space="preserve">This includes quality assurance, marketing and advertising, etc.</t>
  </si>
  <si>
    <t xml:space="preserve">Describe purposes not included in an agreement with the institution.</t>
  </si>
  <si>
    <t xml:space="preserve">Companies may collect information for purposes not outlined in the service agreement, including quality assurance, marketing, etc. Instituions should have a thorough understanding of what data is being used and how.</t>
  </si>
  <si>
    <t xml:space="preserve">Do you have a documented list of personal data your service maintains?</t>
  </si>
  <si>
    <t xml:space="preserve">Do you retain personal information for only as long as necessary to fulfill the stated purpose(s) or as required by law or regulation and thereafter appropriately dispose of such information?</t>
  </si>
  <si>
    <t xml:space="preserve">Briefly outline data retention policies that do not align with regulations.</t>
  </si>
  <si>
    <t xml:space="preserve">Data minimization is a basic privacy principle, and it is important to know whether the solution provider is keeping data longer than necessary and introducing a significant privacy risk.</t>
  </si>
  <si>
    <t xml:space="preserve">Do you provide individuals with access to their personal information for review and update (i.e., data subject rights)?</t>
  </si>
  <si>
    <t xml:space="preserve">Such processes would include descriptions of request processes individuals can follow to review thier information and written processes a data subject may use to ask for changes or corrections to data held about them.</t>
  </si>
  <si>
    <t xml:space="preserve">This question seeks proof of an entity's ability to honor data-subject rights related to providing an individual access to their own informaiton. Such processes would include descriptions of request processes individuals can follow to review thier information and written processes a data subject may use to ask for changes or corrections to data held about them.</t>
  </si>
  <si>
    <t xml:space="preserve">Do you disclose personal information to third parties only for the purpose(s) identified in the privacy notice or with the implicit or explicit consent of the individual?</t>
  </si>
  <si>
    <t xml:space="preserve">Do you protect personal information against unauthorized access (both physical and logical)?</t>
  </si>
  <si>
    <t xml:space="preserve">Do you maintain accurate, complete, and relevant personal information for the purposes identified in the privacy notice?</t>
  </si>
  <si>
    <t xml:space="preserve">Do you have procedures to address privacy-related noncompliance complaints and disputes?</t>
  </si>
  <si>
    <t xml:space="preserve">Provide a brief overview of processes or procedures to handle privacy-related complaints.</t>
  </si>
  <si>
    <t xml:space="preserve">Do you "anonymize," "de-identify," or otherwise mask personal data?</t>
  </si>
  <si>
    <t xml:space="preserve">Briefly describe method used to mask data.</t>
  </si>
  <si>
    <t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</si>
  <si>
    <t xml:space="preserve">Describe the reason for using data beyond the agreed purpose.</t>
  </si>
  <si>
    <t xml:space="preserve">Do you certify stop-processing requests, including any data that is processed by a third party on your behalf?</t>
  </si>
  <si>
    <t xml:space="preserve">Provide evidence of existing processes or policies. The internal privacy policy should explain your organization's policies and practices regarding the collection of personal information and other data about individuals.</t>
  </si>
  <si>
    <t xml:space="preserve">Briefly outline relevant processes.</t>
  </si>
  <si>
    <t xml:space="preserve">It is helpful to understand a vendor or third party's actions with data they recieve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</si>
  <si>
    <t xml:space="preserve">If your organization has exchange programs or does business with global organzations or organizations located outside the United States, depending on the services sought, your institution should determine whether this is a requirement.</t>
  </si>
  <si>
    <t xml:space="preserve">Do you have a process to review code for ethical considerations?</t>
  </si>
  <si>
    <t xml:space="preserve">Provide documentation or explanation of the process to review code. If none exists, explain why.</t>
  </si>
  <si>
    <t xml:space="preserve">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</si>
  <si>
    <t xml:space="preserve">Does your service use AI for the processing of institutional data?</t>
  </si>
  <si>
    <t xml:space="preserve">If REQU-04 is no, populate solution provider answer with B5 in Auto Responses tab</t>
  </si>
  <si>
    <t xml:space="preserve">Review the vendor’s explanation for completeness and alignment with institutional data governance policies. Follow up on vague or incomplete answers. If AI use is planned, ask them to note the expected scope.</t>
  </si>
  <si>
    <t xml:space="preserve">Describe how your service uses AI to process institutional data. Include the types of data involved, the purpose of AI usage, and any decision-making roles AI plays.</t>
  </si>
  <si>
    <t xml:space="preserve">Ask for documentation or a summary of how AI models are developed or used, including training data sources and whether outputs are reviewed by humans.</t>
  </si>
  <si>
    <t xml:space="preserve">Is any institutional data retained in AI processing?*</t>
  </si>
  <si>
    <t xml:space="preserve">Evaluate the vendor's data retention practices for compliance with institutional policies. Request clarification on retention periods and data security if needed.</t>
  </si>
  <si>
    <t xml:space="preserve">Specify what data is retained, for how long, and how it is protected.</t>
  </si>
  <si>
    <t xml:space="preserve">This question assesses whether institutional data is stored or retained during AI processing, which may have implications for data security, retention policies, and regulatory compliance.</t>
  </si>
  <si>
    <t xml:space="preserve">Ask for retention schedules, anonymization steps, and whether storage is temporary or permanent. Request a data flow diagram if available.</t>
  </si>
  <si>
    <t xml:space="preserve">Do you have agreements in place with third parties or subprocessors regarding the protection of customer data and use of AI?*</t>
  </si>
  <si>
    <t xml:space="preserve">Explain the absence of agreements and indicate whether any are under development or negotiation.</t>
  </si>
  <si>
    <t xml:space="preserve">List all subprocessors and describe the agreements in place regarding AI and data protection.</t>
  </si>
  <si>
    <t xml:space="preserve">It's important to ensure that third-party vendors or subprocessors involved in AI processing are contractually bound to protect institutional data and comply with privacy standards.</t>
  </si>
  <si>
    <t xml:space="preserve">Request copies or summaries of data protection agreements with subprocessors. Ask whether subprocessors are listed publicly and how they are vetted.</t>
  </si>
  <si>
    <t xml:space="preserve">Will institutional data be processed through a third party or subprocessor that also uses AI?</t>
  </si>
  <si>
    <t xml:space="preserve">Confirm whether third-party AI use occurs. Ensure that oversight and contractual protections are in place. Clarify any unclear relationships.</t>
  </si>
  <si>
    <t xml:space="preserve">Identify third-party AI processors and describe their role and safeguards.</t>
  </si>
  <si>
    <t xml:space="preserve">This question identifies whether institutional data is shared with or processed by third parties that use AI, which may introduce additional privacy or ethical considerations.</t>
  </si>
  <si>
    <t xml:space="preserve">Ask for a list of third parties involved in AI processing and their roles. Inquire about oversight mechanisms and whether data is shared across jurisdictions.</t>
  </si>
  <si>
    <t xml:space="preserve">Is AI processing limited to fully licensed commercial enterprise AI services?</t>
  </si>
  <si>
    <t xml:space="preserve">Provide names of services used and license types. Note whether open-source or experimental tools are used.</t>
  </si>
  <si>
    <t xml:space="preserve">In most cases, only enterprise licenses allow for an organization to customize what data is collected and how it is used. Free licenses to AI tools could introduce a risk to data.</t>
  </si>
  <si>
    <t xml:space="preserve">Request proof of licensing or vendor agreements for AI tools. Ask whether open-source or beta tools are used and how they are evaluated for risk.</t>
  </si>
  <si>
    <t xml:space="preserve">Will institutional data be used or processed by any shared AI services?</t>
  </si>
  <si>
    <t xml:space="preserve">Provide detailed response to the type of data needed for the AI service to function appropriately, the sources of the data, and whether any data shared with the AI service comes from data sources outside the institution.</t>
  </si>
  <si>
    <t xml:space="preserve">Use of AI services and tools runs a risk of being supported by bad batches or databanks of information. Additionally, harmful bias and other data-quality issues can affect AI system trustworthiness, which could lead to negative impacts.</t>
  </si>
  <si>
    <t xml:space="preserve">Do you have safeguards in place to protect institutional data and data privacy from unintended AI queries or processing?</t>
  </si>
  <si>
    <t xml:space="preserve">Explain any data minimization processes used to exclude institutional data from AI algorithm or training, etc.</t>
  </si>
  <si>
    <t xml:space="preserve">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</si>
  <si>
    <t xml:space="preserve">Do you provide choice to the user to opt out of AI use?</t>
  </si>
  <si>
    <t xml:space="preserve">Provide the language used for a user to opt-out or consent to the use of AI</t>
  </si>
  <si>
    <t xml:space="preserve">Does your solution leverage machine learning (ML) or do you plan to do so in the next 12 months?</t>
  </si>
  <si>
    <t xml:space="preserve">Trigger for ML Questions</t>
  </si>
  <si>
    <t xml:space="preserve">Does your solution leverage a large language model (LLM) or do you plan to do so in the next 12 months?</t>
  </si>
  <si>
    <t xml:space="preserve">Trigger for LLM Questions</t>
  </si>
  <si>
    <t xml:space="preserve">Does your solution have an AI risk model when developing or implementing your solution's AI model?*</t>
  </si>
  <si>
    <t xml:space="preserve">Examples include AI RMF, OWASP Top 10, RAFT, MITRE ATLAS.</t>
  </si>
  <si>
    <t xml:space="preserve">Can your solution's AI features be disabled by tenant and/or user?*</t>
  </si>
  <si>
    <t xml:space="preserve">Looking for granular access for and ability to disable AI-related features.</t>
  </si>
  <si>
    <t xml:space="preserve">Have your staff completed responsible AI training?*</t>
  </si>
  <si>
    <t xml:space="preserve">Provide the responsible AI training provided to your staff and its frequency.</t>
  </si>
  <si>
    <t xml:space="preserve">Please describe the capabilities of your solution's AI features.</t>
  </si>
  <si>
    <t xml:space="preserve">Looking for the capabilities, use-case, goals, and benefits of the AI model or feature(s).</t>
  </si>
  <si>
    <t xml:space="preserve">Does your solution support business rules to protect sensitive data from being ingested by the AI model?</t>
  </si>
  <si>
    <t xml:space="preserve">Looking for business rules, model assertions, or prediction limiters to mitigate exposure of senstive data through model inputs.</t>
  </si>
  <si>
    <t xml:space="preserve">Are your AI developer's policies, processes, procedures, and practices across the organization related to the mapping, measuring, and managing of AI risks conspicuously posted, unambiguous, and implemented effectively?*</t>
  </si>
  <si>
    <t xml:space="preserve">Looking for responsible AI development policies and practices.</t>
  </si>
  <si>
    <t xml:space="preserve">To be added in a later version</t>
  </si>
  <si>
    <t xml:space="preserve">Have you identified and measured AI risks?*</t>
  </si>
  <si>
    <t xml:space="preserve">Looking for documentation and policies around measuring AI risk.</t>
  </si>
  <si>
    <t xml:space="preserve">In the event of an incident, can your solution's AI features be disabled in a timely manner?*</t>
  </si>
  <si>
    <t xml:space="preserve">Looking for incident response procedure for shutting down and re-enabling model features due to a security event. Please provide the amount of time it would take to disable your solution's AI feature(s).</t>
  </si>
  <si>
    <t xml:space="preserve">If disabled because of an incident, can your solution's AI features be re-enabled in a timely manner?*</t>
  </si>
  <si>
    <t xml:space="preserve">Looking for incident response procedure for shutting down and re-enabling model features due to a security event. Please provide the amount of time it would take to renable your solution's AI feature(s).</t>
  </si>
  <si>
    <t xml:space="preserve">Do you have documented technical and procedural processes to address potential negative impacts of AI as described by the AI Risk Management Framework (RMF)?</t>
  </si>
  <si>
    <t xml:space="preserve">Looking for harm reduction as part of responsible AI development per NIST AI RMF, page 25.</t>
  </si>
  <si>
    <t xml:space="preserve">If sensitive data is introduced to your solution's AI model, can the data be removed from the AI model by request?*</t>
  </si>
  <si>
    <t xml:space="preserve">Looking for the ability to scrub sensitive insitutional data from your solution's AI model.</t>
  </si>
  <si>
    <t xml:space="preserve">Is user input data used to influence your solution's AI model?*</t>
  </si>
  <si>
    <t xml:space="preserve">Looking for protection of organizational data entered as inputs in a solution's AI feature(s).</t>
  </si>
  <si>
    <t xml:space="preserve">Do you provide logging for your solution's AI feature(s) that includes user, date, and action taken?*</t>
  </si>
  <si>
    <t xml:space="preserve">Looking for the ability to audit AI feature(s) for a regulated data audit or incident response.</t>
  </si>
  <si>
    <t xml:space="preserve">Please describe how you validate user inputs.</t>
  </si>
  <si>
    <t xml:space="preserve">Looking for how the solution is checked for input anomalies, patterns, and malicious input rejection.</t>
  </si>
  <si>
    <t xml:space="preserve">Do you plan for and mitigate supply-chain risk related to your AI features?</t>
  </si>
  <si>
    <t xml:space="preserve">Looking for SAST (Static Application Security Testing) and SBOM (Software Bill of Materials) attestations.</t>
  </si>
  <si>
    <t xml:space="preserve">Do you separate ML training data from your ML solution data?*</t>
  </si>
  <si>
    <t xml:space="preserve">If REQU-04 is no, populate solution provider answer with B5 in Auto Responses tab; If AIQU-01 is no, populate with B9</t>
  </si>
  <si>
    <t xml:space="preserve">Looking for protection of training data.</t>
  </si>
  <si>
    <t xml:space="preserve">Do you authenticate and verify your ML model's feedback?*</t>
  </si>
  <si>
    <t xml:space="preserve">Looking for authentication and verification of feedback of the ML model to address the risk of model skewing.</t>
  </si>
  <si>
    <t xml:space="preserve">Is your ML training data vetted, validated, and verified before training the solution's AI model?</t>
  </si>
  <si>
    <t xml:space="preserve">Looking for policies/procedures about validating and verifying any data used to train the model through validation checks and employing multiple data labelers to validate the accuracy of the data labeling.</t>
  </si>
  <si>
    <t xml:space="preserve">Is your ML training data monitored and audited?</t>
  </si>
  <si>
    <t xml:space="preserve">Looking for how you reduce the risk of compromising training data.</t>
  </si>
  <si>
    <t xml:space="preserve">Have you limited access to your ML training data to only staff with an explicit business need?</t>
  </si>
  <si>
    <t xml:space="preserve">Looking for limited access to training data.</t>
  </si>
  <si>
    <t xml:space="preserve">Have you implemented adversarial training or other model defense mechanisms to protect your ML-related features?</t>
  </si>
  <si>
    <t xml:space="preserve">Looking for adversarial training or models that incorporate other defense mechanisms.</t>
  </si>
  <si>
    <t xml:space="preserve">Do you make your ML model transparent through documentation and log inputs and outputs?</t>
  </si>
  <si>
    <t xml:space="preserve">Looking for model transparency, logging of inputs and outputs, explainations for the model's predictions, and allowing the users to inspect the model's internal representations.</t>
  </si>
  <si>
    <t xml:space="preserve">Do you watermark your ML training data?</t>
  </si>
  <si>
    <t xml:space="preserve">Looking for watermarking of training data to aid in your incident response.</t>
  </si>
  <si>
    <t xml:space="preserve">Do you limit your solution's LLM privileges by default?*</t>
  </si>
  <si>
    <t xml:space="preserve">Looking for the LLM tool's privileges and permissions with consideration of the principle of least privilege.</t>
  </si>
  <si>
    <t xml:space="preserve">Is your LLM training data vetted, validated, and verified before training the solution's AI model?*</t>
  </si>
  <si>
    <t xml:space="preserve">If REQU-04 is no, populate solution provider answer with B5 in Auto Responses tab; If AIQU-02 is no, populate with B10</t>
  </si>
  <si>
    <t xml:space="preserve">Looking for policies/procedures for validating and verifying any data used to train the model through validation checks and employing multiple data labelers to validate the accuracy of the data labeling.</t>
  </si>
  <si>
    <t xml:space="preserve">Do any actions taken by your solution's LLM features or plugins require human intervention?*</t>
  </si>
  <si>
    <t xml:space="preserve">Looking for human intervention prior to LLM feature actions to mitigate permissions issues and unauthorized actions. </t>
  </si>
  <si>
    <t xml:space="preserve">Do you limit multiple LLM model plugins being called as part of a single input?*</t>
  </si>
  <si>
    <t xml:space="preserve">If REQU-04 is no, populate solution provider answer with B5 in Auto Responses tab; If AIQU-02 is no, populate with B9</t>
  </si>
  <si>
    <t xml:space="preserve">Looking for a limitation of plugins called per request to help limit data leakage and privilege escalation.</t>
  </si>
  <si>
    <t xml:space="preserve">Do you limit your solution's LLM resource use per request, per step, and per action?</t>
  </si>
  <si>
    <t xml:space="preserve">Looking for resource use limits to mitigate denial of service (DoS) attacks.</t>
  </si>
  <si>
    <t xml:space="preserve">Do you leverage LLM model tuning or other model validation mechanisms?</t>
  </si>
  <si>
    <t xml:space="preserve">Looking for fact-checking and accuracy tuning of the LLM outputs.</t>
  </si>
  <si>
    <t xml:space="preserve">AILM-07</t>
  </si>
  <si>
    <t xml:space="preserve">Do you perform taint tracing or tracking on all plugin content related to the LLM?</t>
  </si>
  <si>
    <t xml:space="preserve">Looking for taint tracing or tracking of LLM plugins to mitigate malicious inputs tuning and prompt engineering.</t>
  </si>
  <si>
    <t xml:space="preserve">This worksheet contains Auto-Responses that auto-populate the other worksheets and the context for when they are used. </t>
  </si>
  <si>
    <t xml:space="preserve">Question Auto-Response</t>
  </si>
  <si>
    <t xml:space="preserve">Context</t>
  </si>
  <si>
    <t xml:space="preserve">INSTRUCTIONS FOR ANALYSTS</t>
  </si>
  <si>
    <t xml:space="preserve">INSTRUCTIONS FOR HIGH-RISK SCORECARD</t>
  </si>
  <si>
    <t xml:space="preserve">DROPDOWN OPTIONS</t>
  </si>
  <si>
    <t xml:space="preserve">SECURITY FRAMEWORK OPTIONS</t>
  </si>
  <si>
    <t xml:space="preserve">QUESTION CATEGORY NAMES/TITLES</t>
  </si>
  <si>
    <t xml:space="preserve">Based on the response to REQU-01 on the "START HERE" tab, this question does not apply to this product or service. </t>
  </si>
  <si>
    <t xml:space="preserve">Does not offer a product or platform</t>
  </si>
  <si>
    <t xml:space="preserve">1. Complete the "Start Here" tab and review the "Required Questions" guidance to find the other sections are required for your product or service.</t>
  </si>
  <si>
    <t xml:space="preserve">1. Upon initial review, you can check the "Non-Negotiable" box by any question to compile a report of questions that may prohibit a full review.</t>
  </si>
  <si>
    <t xml:space="preserve">1. The scorecard below reflects those questions marked as "Critical Importance" or those where the "Non-Negotiable" box was checked. </t>
  </si>
  <si>
    <t xml:space="preserve">CIS Critical Security Controls v6.1</t>
  </si>
  <si>
    <t xml:space="preserve">Full Name</t>
  </si>
  <si>
    <t xml:space="preserve"># of Questions</t>
  </si>
  <si>
    <t xml:space="preserve">Based on the response to REQU-02 on the "START HERE" tab, this question does not apply to this product or service.</t>
  </si>
  <si>
    <t xml:space="preserve">No interface for accessibility review</t>
  </si>
  <si>
    <t xml:space="preserve">2. Complete the "Organization" tab and the applicable questions in each of the next 5 tabs (Product through Privacy) that apply, based on your answers to the "Required Questions."</t>
  </si>
  <si>
    <t xml:space="preserve">2. When evaluating an answer, a default importance level has been set. You can use the "Importance Override" dropdown to override the default and adjust the value of the question.</t>
  </si>
  <si>
    <t xml:space="preserve">2. Use these condensed, aggregated views to review those questions that pose the highest risk. </t>
  </si>
  <si>
    <t xml:space="preserve">GNRL</t>
  </si>
  <si>
    <t xml:space="preserve"> General Information</t>
  </si>
  <si>
    <t xml:space="preserve">Based on the response to REQU-03 on the "START HERE" tab, this question does not apply to this product or service.</t>
  </si>
  <si>
    <t xml:space="preserve">Not a consultant</t>
  </si>
  <si>
    <t xml:space="preserve">3. Guidance in column E may change based on your answers to prompt details in "Additional Information." If leaving an answer blank, you must also state why in "Additional Information". </t>
  </si>
  <si>
    <t xml:space="preserve">3. For questions that are qualitative or for which you disagree with the preferred response, make a selection in the "Compliant Override" dropdown to adjust the question's impact on the score.</t>
  </si>
  <si>
    <t xml:space="preserve">3. Changes cannot be made in this sheet. Please make changes in the appropriate "Evaluation" tab.</t>
  </si>
  <si>
    <t xml:space="preserve">N/A</t>
  </si>
  <si>
    <t xml:space="preserve">ISO 27002:2013</t>
  </si>
  <si>
    <t xml:space="preserve"> Company Information</t>
  </si>
  <si>
    <t xml:space="preserve">Based on the response to REQU-04 on the "START HERE" tab, this question does not apply to this product or service.</t>
  </si>
  <si>
    <t xml:space="preserve">No AI features</t>
  </si>
  <si>
    <t xml:space="preserve">4. DO NOT complete any fields in the "Evaluation" sheets or the "Analyst Notes" column.</t>
  </si>
  <si>
    <t xml:space="preserve">4. Each worksheet shows a report for that section. See the "Analyst Report" sheet for a full report of all sections. </t>
  </si>
  <si>
    <t xml:space="preserve">NIST Cybersecurity Framework</t>
  </si>
  <si>
    <t xml:space="preserve">REQU</t>
  </si>
  <si>
    <t xml:space="preserve"> Required Questions</t>
  </si>
  <si>
    <t xml:space="preserve">Based on the response to REQU-05 on the "START HERE" tab, this question does not apply to this product or service.</t>
  </si>
  <si>
    <t xml:space="preserve">No HIPAA covered PHI</t>
  </si>
  <si>
    <t xml:space="preserve">5. Return the completed file to institutions.</t>
  </si>
  <si>
    <t xml:space="preserve">5. If you are evaluating a question that appears in an earlier section, the Importance and Compliant Override cannot be changed but additional notes can be added. </t>
  </si>
  <si>
    <t xml:space="preserve">Mark as Compliant</t>
  </si>
  <si>
    <t xml:space="preserve">NIST SP 800-171r1</t>
  </si>
  <si>
    <t xml:space="preserve"> Documentation</t>
  </si>
  <si>
    <t xml:space="preserve">Based on the response to REQU-06 on the "START HERE" tab, this question does not apply to this product or service.</t>
  </si>
  <si>
    <t xml:space="preserve">No PCI DSS</t>
  </si>
  <si>
    <t xml:space="preserve">* Denotes critical questions. Critical questions are those deemed most important to institutions by higher education volunteers.</t>
  </si>
  <si>
    <t xml:space="preserve">For full instructions, please visit EDUCAUSE.edu/HECVAT</t>
  </si>
  <si>
    <t xml:space="preserve">Mark as Non-Compliant</t>
  </si>
  <si>
    <t xml:space="preserve">NIST SP 800-53r4</t>
  </si>
  <si>
    <t xml:space="preserve"> IT Accessibility</t>
  </si>
  <si>
    <t xml:space="preserve">Based on the response to REQU-07 on the "START HERE" tab, this question does not apply to this product or service.</t>
  </si>
  <si>
    <t xml:space="preserve">Not on-prem</t>
  </si>
  <si>
    <t xml:space="preserve">For full instructions, please visit educause.edu/HECVAT</t>
  </si>
  <si>
    <t xml:space="preserve"> Assessment of Third Parties</t>
  </si>
  <si>
    <t xml:space="preserve">Based on the response to AIQU-01 on the "START HERE" tab, this question does not apply to this product or service.</t>
  </si>
  <si>
    <t xml:space="preserve">Does not leverage machine learning</t>
  </si>
  <si>
    <t xml:space="preserve"> Consulting Services</t>
  </si>
  <si>
    <t xml:space="preserve">Based on the response to AIQU-02 on the "START HERE" tab, this question does not apply to this product or service.</t>
  </si>
  <si>
    <t xml:space="preserve">Does not leverage a large language model</t>
  </si>
  <si>
    <t xml:space="preserve"> Application/Service Security</t>
  </si>
  <si>
    <t xml:space="preserve">DO complete the Product and Infrastructure worksheets.</t>
  </si>
  <si>
    <t xml:space="preserve">Yes to REQU-01</t>
  </si>
  <si>
    <t xml:space="preserve"> Authentication, Authorization, and Account Management</t>
  </si>
  <si>
    <t xml:space="preserve">DO NOT complete the Product and Infrastructure worksheets.</t>
  </si>
  <si>
    <t xml:space="preserve">NO to REQU-01</t>
  </si>
  <si>
    <t xml:space="preserve"> Change Management</t>
  </si>
  <si>
    <t xml:space="preserve">Yes to REQU-02</t>
  </si>
  <si>
    <t xml:space="preserve">Does Not Apply/Do Not Score</t>
  </si>
  <si>
    <t xml:space="preserve"> Data</t>
  </si>
  <si>
    <t xml:space="preserve">NO to REQU-02</t>
  </si>
  <si>
    <t xml:space="preserve"> Datacenter</t>
  </si>
  <si>
    <t xml:space="preserve">DO complete the Consulting section in the Case-Specific worksheet.</t>
  </si>
  <si>
    <t xml:space="preserve">YES to REQU-03</t>
  </si>
  <si>
    <t xml:space="preserve"> Firewalls, IDS, IPS, and Networking</t>
  </si>
  <si>
    <t xml:space="preserve">DO NOT complete the Consulting section in the Case-Specific worksheet.</t>
  </si>
  <si>
    <t xml:space="preserve">NO to REQU-03</t>
  </si>
  <si>
    <t xml:space="preserve">Self-Managed</t>
  </si>
  <si>
    <t xml:space="preserve"> Policies, Processes, and Procedures</t>
  </si>
  <si>
    <t xml:space="preserve">DO complete the Artificial Intelligence (AI) worksheet.</t>
  </si>
  <si>
    <t xml:space="preserve">YES to REQU-04</t>
  </si>
  <si>
    <t xml:space="preserve">Physical Co-Location</t>
  </si>
  <si>
    <t xml:space="preserve"> Incident Handling</t>
  </si>
  <si>
    <t xml:space="preserve">DO NOT complete the Artificial Intelligence (AI) worksheet.</t>
  </si>
  <si>
    <t xml:space="preserve">NO to REQU-04</t>
  </si>
  <si>
    <t xml:space="preserve">Virtual Co-Location</t>
  </si>
  <si>
    <t xml:space="preserve"> Vulnerability Management</t>
  </si>
  <si>
    <t xml:space="preserve">DO complete the HIPAA section in the Case-Specific worksheet.</t>
  </si>
  <si>
    <t xml:space="preserve">YES to REQU-05</t>
  </si>
  <si>
    <t xml:space="preserve">AWS</t>
  </si>
  <si>
    <t xml:space="preserve">HIPAA Compliance </t>
  </si>
  <si>
    <t xml:space="preserve">DO NOT complete the HIPAA section in the Case-Specific worksheet.</t>
  </si>
  <si>
    <t xml:space="preserve">NO to REQU-05</t>
  </si>
  <si>
    <t xml:space="preserve">Azure</t>
  </si>
  <si>
    <t xml:space="preserve"> Payment Card Industry Data Security Standard (PCI DSS)</t>
  </si>
  <si>
    <t xml:space="preserve">DO complete the PCI-DSS section in the Case-Specific worksheet.</t>
  </si>
  <si>
    <t xml:space="preserve">YES to REQU-06</t>
  </si>
  <si>
    <t xml:space="preserve">GCP</t>
  </si>
  <si>
    <t xml:space="preserve"> On-Premises Data Solutions</t>
  </si>
  <si>
    <t xml:space="preserve">DO NOT complete the PCI-DSS section in the Case-Specific worksheet.</t>
  </si>
  <si>
    <t xml:space="preserve">NO to REQU-06</t>
  </si>
  <si>
    <t xml:space="preserve">Hybrid/Other</t>
  </si>
  <si>
    <t xml:space="preserve"> General Privacy</t>
  </si>
  <si>
    <t xml:space="preserve">DO complete the On-Premises Data Solutions section in the Case-Specific worksheet.</t>
  </si>
  <si>
    <t xml:space="preserve">YES to REQU-07</t>
  </si>
  <si>
    <t xml:space="preserve"> Privacy-Specific Company Details</t>
  </si>
  <si>
    <t xml:space="preserve">DO NOT complete the On-Premises Data Solutions section in the Case-Specific worksheet.</t>
  </si>
  <si>
    <t xml:space="preserve">NO to REQU-07</t>
  </si>
  <si>
    <t xml:space="preserve"> Privacy-Specific Documentation</t>
  </si>
  <si>
    <t xml:space="preserve">Based on the response to DCTR-01, this question does not apply to this product or service.</t>
  </si>
  <si>
    <t xml:space="preserve">Hosting option selection makes some questions N/A</t>
  </si>
  <si>
    <t xml:space="preserve"> Privacy of Third Parties</t>
  </si>
  <si>
    <t xml:space="preserve">Based on the response to AIPL-03, this question does not apply to this product or service.</t>
  </si>
  <si>
    <t xml:space="preserve"> Privacy Change Management</t>
  </si>
  <si>
    <t xml:space="preserve">Based on the response to AAAI-01, this question does not apply to this product or service.</t>
  </si>
  <si>
    <t xml:space="preserve"> Privacy of Sensitive Data</t>
  </si>
  <si>
    <t xml:space="preserve"> Privacy Policies and Procedures</t>
  </si>
  <si>
    <t xml:space="preserve"> International Privacy</t>
  </si>
  <si>
    <t xml:space="preserve"> Data Privacy</t>
  </si>
  <si>
    <t xml:space="preserve"> Privacy and AI</t>
  </si>
  <si>
    <t xml:space="preserve">This question does not apply.</t>
  </si>
  <si>
    <t xml:space="preserve">AIQU</t>
  </si>
  <si>
    <t xml:space="preserve"> AI Qualifying Questions</t>
  </si>
  <si>
    <t xml:space="preserve">AIGN</t>
  </si>
  <si>
    <t xml:space="preserve"> General AI Questions</t>
  </si>
  <si>
    <t xml:space="preserve">AIPL</t>
  </si>
  <si>
    <t xml:space="preserve"> AI Policy</t>
  </si>
  <si>
    <t xml:space="preserve">Version 4.1.2</t>
  </si>
  <si>
    <t xml:space="preserve">AISC</t>
  </si>
  <si>
    <t xml:space="preserve"> AI Data Security</t>
  </si>
  <si>
    <t xml:space="preserve">AIML</t>
  </si>
  <si>
    <t xml:space="preserve"> AI Machine Learning</t>
  </si>
  <si>
    <t xml:space="preserve">AILM</t>
  </si>
  <si>
    <t xml:space="preserve"> AI Large Language Model (LLM)</t>
  </si>
  <si>
    <t xml:space="preserve">This worksheet is auto-populated with data taken from previous worksheets. </t>
  </si>
  <si>
    <t xml:space="preserve">ID Code</t>
  </si>
  <si>
    <t xml:space="preserve">Vendor Response</t>
  </si>
  <si>
    <t xml:space="preserve">Default Value</t>
  </si>
  <si>
    <t xml:space="preserve">Compliance Eval</t>
  </si>
  <si>
    <t xml:space="preserve">Non-negotiable Indicator</t>
  </si>
  <si>
    <t xml:space="preserve">Critical Indicator</t>
  </si>
  <si>
    <t xml:space="preserve">Potential Score</t>
  </si>
  <si>
    <t xml:space="preserve">Actual Score</t>
  </si>
  <si>
    <t xml:space="preserve">Non-Negotiable Count</t>
  </si>
  <si>
    <t xml:space="preserve">Non-Negotiable Total</t>
  </si>
  <si>
    <t xml:space="preserve">Non-Negotiable Location</t>
  </si>
  <si>
    <t xml:space="preserve">Critical Count</t>
  </si>
  <si>
    <t xml:space="preserve">Critical Total</t>
  </si>
  <si>
    <t xml:space="preserve">Critical Location</t>
  </si>
  <si>
    <t xml:space="preserve">End of workbook </t>
  </si>
</sst>
</file>

<file path=xl/styles.xml><?xml version="1.0" encoding="utf-8"?>
<styleSheet xmlns="http://schemas.openxmlformats.org/spreadsheetml/2006/main">
  <numFmts count="6">
    <numFmt numFmtId="164" formatCode="General"/>
    <numFmt numFmtId="165" formatCode="m/d/yyyy;@"/>
    <numFmt numFmtId="166" formatCode="0"/>
    <numFmt numFmtId="167" formatCode="#,##0"/>
    <numFmt numFmtId="168" formatCode="0\ %"/>
    <numFmt numFmtId="169" formatCode="0.0%"/>
  </numFmts>
  <fonts count="61">
    <font>
      <sz val="12"/>
      <color rgb="FF000000"/>
      <name val="Verdana"/>
      <family val="0"/>
      <charset val="1"/>
    </font>
    <font>
      <sz val="10"/>
      <name val="Arial"/>
      <family val="0"/>
    </font>
    <font>
      <sz val="10"/>
      <name val="Arial"/>
      <family val="0"/>
    </font>
    <font>
      <sz val="10"/>
      <name val="Arial"/>
      <family val="0"/>
    </font>
    <font>
      <sz val="10"/>
      <color rgb="FF000000"/>
      <name val="Aptos Narrow"/>
      <family val="2"/>
      <charset val="1"/>
    </font>
    <font>
      <sz val="12"/>
      <color rgb="FF000000"/>
      <name val="Verdana"/>
      <family val="2"/>
      <charset val="1"/>
    </font>
    <font>
      <sz val="11"/>
      <color rgb="FF000000"/>
      <name val="Verdana"/>
      <family val="2"/>
      <charset val="1"/>
    </font>
    <font>
      <b val="true"/>
      <sz val="11"/>
      <color rgb="FFFF0000"/>
      <name val="Verdana"/>
      <family val="2"/>
      <charset val="1"/>
    </font>
    <font>
      <sz val="11"/>
      <name val="Verdana"/>
      <family val="2"/>
      <charset val="1"/>
    </font>
    <font>
      <b val="true"/>
      <sz val="20"/>
      <color theme="0"/>
      <name val="Verdana"/>
      <family val="2"/>
      <charset val="1"/>
    </font>
    <font>
      <b val="true"/>
      <i val="true"/>
      <sz val="20"/>
      <color theme="0"/>
      <name val="Verdana"/>
      <family val="2"/>
      <charset val="1"/>
    </font>
    <font>
      <b val="true"/>
      <sz val="12"/>
      <color theme="0"/>
      <name val="Verdana"/>
      <family val="2"/>
      <charset val="1"/>
    </font>
    <font>
      <b val="true"/>
      <sz val="12"/>
      <color theme="1"/>
      <name val="Verdana"/>
      <family val="2"/>
      <charset val="1"/>
    </font>
    <font>
      <i val="true"/>
      <sz val="12"/>
      <color theme="1"/>
      <name val="Verdana"/>
      <family val="2"/>
      <charset val="1"/>
    </font>
    <font>
      <b val="true"/>
      <sz val="14"/>
      <color theme="0"/>
      <name val="Verdana"/>
      <family val="2"/>
      <charset val="1"/>
    </font>
    <font>
      <b val="true"/>
      <sz val="14"/>
      <color rgb="FFFF0000"/>
      <name val="Verdana"/>
      <family val="2"/>
      <charset val="1"/>
    </font>
    <font>
      <sz val="12"/>
      <color theme="1"/>
      <name val="Verdana"/>
      <family val="2"/>
      <charset val="1"/>
    </font>
    <font>
      <u val="single"/>
      <sz val="12"/>
      <color theme="10"/>
      <name val="Verdana"/>
      <family val="2"/>
      <charset val="1"/>
    </font>
    <font>
      <sz val="11"/>
      <color theme="1"/>
      <name val="Verdana"/>
      <family val="2"/>
      <charset val="1"/>
    </font>
    <font>
      <i val="true"/>
      <sz val="11"/>
      <color theme="1"/>
      <name val="Verdana"/>
      <family val="2"/>
      <charset val="1"/>
    </font>
    <font>
      <i val="true"/>
      <sz val="10"/>
      <color theme="1"/>
      <name val="Times New Roman"/>
      <family val="1"/>
    </font>
    <font>
      <b val="true"/>
      <sz val="14"/>
      <name val="Verdana"/>
      <family val="2"/>
      <charset val="1"/>
    </font>
    <font>
      <sz val="11"/>
      <color rgb="FFBF0000"/>
      <name val="Verdana"/>
      <family val="2"/>
      <charset val="1"/>
    </font>
    <font>
      <sz val="11"/>
      <color theme="0"/>
      <name val="Verdana"/>
      <family val="2"/>
      <charset val="1"/>
    </font>
    <font>
      <b val="true"/>
      <i val="true"/>
      <sz val="14"/>
      <color rgb="FFFF0000"/>
      <name val="Verdana"/>
      <family val="2"/>
      <charset val="1"/>
    </font>
    <font>
      <i val="true"/>
      <sz val="11"/>
      <color rgb="FF000000"/>
      <name val="Verdana"/>
      <family val="2"/>
      <charset val="1"/>
    </font>
    <font>
      <i val="true"/>
      <sz val="11"/>
      <name val="Verdana"/>
      <family val="2"/>
      <charset val="1"/>
    </font>
    <font>
      <sz val="12"/>
      <color rgb="FF000000"/>
      <name val="Verdana"/>
      <family val="2"/>
    </font>
    <font>
      <i val="true"/>
      <sz val="11"/>
      <color theme="1"/>
      <name val="Verdana"/>
      <family val="2"/>
    </font>
    <font>
      <sz val="11"/>
      <name val="Verdana"/>
      <family val="2"/>
    </font>
    <font>
      <sz val="12"/>
      <color theme="0"/>
      <name val="Verdana"/>
      <family val="2"/>
      <charset val="1"/>
    </font>
    <font>
      <sz val="11"/>
      <color rgb="FFFF0000"/>
      <name val="Verdana"/>
      <family val="2"/>
      <charset val="1"/>
    </font>
    <font>
      <b val="true"/>
      <sz val="20"/>
      <name val="Verdana"/>
      <family val="2"/>
      <charset val="1"/>
    </font>
    <font>
      <b val="true"/>
      <sz val="14"/>
      <color theme="1"/>
      <name val="Verdana"/>
      <family val="2"/>
      <charset val="1"/>
    </font>
    <font>
      <b val="true"/>
      <sz val="11"/>
      <color rgb="FF000000"/>
      <name val="Verdana"/>
      <family val="2"/>
      <charset val="1"/>
    </font>
    <font>
      <sz val="12"/>
      <color rgb="FFFF0000"/>
      <name val="Verdana"/>
      <family val="2"/>
      <charset val="1"/>
    </font>
    <font>
      <b val="true"/>
      <sz val="12"/>
      <color rgb="FF000000"/>
      <name val="Verdana"/>
      <family val="2"/>
      <charset val="1"/>
    </font>
    <font>
      <b val="true"/>
      <i val="true"/>
      <sz val="12"/>
      <color rgb="FF000000"/>
      <name val="Verdana"/>
      <family val="2"/>
      <charset val="1"/>
    </font>
    <font>
      <b val="true"/>
      <sz val="12"/>
      <name val="Verdana"/>
      <family val="2"/>
      <charset val="1"/>
    </font>
    <font>
      <u val="single"/>
      <sz val="12"/>
      <color theme="0"/>
      <name val="Verdana"/>
      <family val="2"/>
      <charset val="1"/>
    </font>
    <font>
      <b val="true"/>
      <sz val="11"/>
      <color theme="0"/>
      <name val="Verdana"/>
      <family val="2"/>
      <charset val="1"/>
    </font>
    <font>
      <sz val="12"/>
      <color rgb="FFC00000"/>
      <name val="Verdana"/>
      <family val="2"/>
      <charset val="1"/>
    </font>
    <font>
      <b val="true"/>
      <sz val="14"/>
      <color rgb="FFC00000"/>
      <name val="Verdana"/>
      <family val="2"/>
      <charset val="1"/>
    </font>
    <font>
      <u val="single"/>
      <sz val="12"/>
      <color rgb="FFC00000"/>
      <name val="Verdana"/>
      <family val="2"/>
      <charset val="1"/>
    </font>
    <font>
      <b val="true"/>
      <sz val="14"/>
      <color rgb="FF000000"/>
      <name val="Verdana"/>
      <family val="2"/>
      <charset val="1"/>
    </font>
    <font>
      <b val="true"/>
      <sz val="11"/>
      <name val="Verdana"/>
      <family val="2"/>
      <charset val="1"/>
    </font>
    <font>
      <sz val="12"/>
      <name val="Verdana"/>
      <family val="2"/>
      <charset val="1"/>
    </font>
    <font>
      <b val="true"/>
      <i val="true"/>
      <sz val="14"/>
      <color theme="0"/>
      <name val="Verdana"/>
      <family val="2"/>
      <charset val="1"/>
    </font>
    <font>
      <b val="true"/>
      <i val="true"/>
      <sz val="11"/>
      <color theme="1"/>
      <name val="Verdana"/>
      <family val="2"/>
      <charset val="1"/>
    </font>
    <font>
      <sz val="10"/>
      <color theme="0"/>
      <name val="Aptos Narrow"/>
      <family val="2"/>
      <charset val="1"/>
    </font>
    <font>
      <b val="true"/>
      <sz val="11"/>
      <color rgb="FF000000"/>
      <name val="Arial"/>
      <family val="2"/>
      <charset val="1"/>
    </font>
    <font>
      <sz val="11"/>
      <color rgb="FF000000"/>
      <name val="Arial"/>
      <family val="2"/>
      <charset val="1"/>
    </font>
    <font>
      <sz val="11"/>
      <color theme="1"/>
      <name val="Arial"/>
      <family val="2"/>
      <charset val="1"/>
    </font>
    <font>
      <sz val="11"/>
      <color rgb="FFFF0000"/>
      <name val="Arial"/>
      <family val="2"/>
      <charset val="1"/>
    </font>
    <font>
      <sz val="10"/>
      <color rgb="FF000000"/>
      <name val="Arial"/>
      <family val="2"/>
      <charset val="1"/>
    </font>
    <font>
      <sz val="11"/>
      <color rgb="FF1A1A1A"/>
      <name val="Arial"/>
      <family val="2"/>
      <charset val="1"/>
    </font>
    <font>
      <b val="true"/>
      <sz val="10"/>
      <color theme="1"/>
      <name val="Aptos Narrow"/>
      <family val="2"/>
      <charset val="1"/>
    </font>
    <font>
      <b val="true"/>
      <sz val="10"/>
      <color rgb="FF000000"/>
      <name val="Aptos Narrow"/>
      <family val="2"/>
      <charset val="1"/>
    </font>
    <font>
      <sz val="10"/>
      <color theme="1"/>
      <name val="Aptos Narrow"/>
      <family val="2"/>
      <charset val="1"/>
    </font>
    <font>
      <b val="true"/>
      <i val="true"/>
      <sz val="10"/>
      <color rgb="FF000000"/>
      <name val="Aptos Narrow"/>
      <family val="2"/>
      <charset val="1"/>
    </font>
    <font>
      <sz val="10"/>
      <name val="Arial"/>
      <family val="2"/>
    </font>
  </fonts>
  <fills count="21">
    <fill>
      <patternFill patternType="none"/>
    </fill>
    <fill>
      <patternFill patternType="gray125"/>
    </fill>
    <fill>
      <patternFill patternType="solid">
        <fgColor rgb="FF00636C"/>
        <bgColor rgb="FF008080"/>
      </patternFill>
    </fill>
    <fill>
      <patternFill patternType="solid">
        <fgColor theme="0" tint="-0.05"/>
        <bgColor rgb="FFFFFFFF"/>
      </patternFill>
    </fill>
    <fill>
      <patternFill patternType="solid">
        <fgColor theme="0"/>
        <bgColor rgb="FFF2F2F2"/>
      </patternFill>
    </fill>
    <fill>
      <patternFill patternType="solid">
        <fgColor theme="1"/>
        <bgColor rgb="FF1A1A1A"/>
      </patternFill>
    </fill>
    <fill>
      <patternFill patternType="solid">
        <fgColor theme="0" tint="-0.15"/>
        <bgColor rgb="FFD9D2E9"/>
      </patternFill>
    </fill>
    <fill>
      <patternFill patternType="solid">
        <fgColor rgb="FFE0B233"/>
        <bgColor rgb="FFFFCC00"/>
      </patternFill>
    </fill>
    <fill>
      <patternFill patternType="solid">
        <fgColor rgb="FFFDEEC5"/>
        <bgColor rgb="FFF2F2F2"/>
      </patternFill>
    </fill>
    <fill>
      <patternFill patternType="solid">
        <fgColor rgb="FF4C6BB3"/>
        <bgColor rgb="FF467886"/>
      </patternFill>
    </fill>
    <fill>
      <patternFill patternType="solid">
        <fgColor rgb="FFD0DAF0"/>
        <bgColor rgb="FFD9D2E9"/>
      </patternFill>
    </fill>
    <fill>
      <patternFill patternType="solid">
        <fgColor rgb="FFBF0000"/>
        <bgColor rgb="FFC00000"/>
      </patternFill>
    </fill>
    <fill>
      <patternFill patternType="solid">
        <fgColor rgb="FF7ECCA0"/>
        <bgColor rgb="FFA6CAEC"/>
      </patternFill>
    </fill>
    <fill>
      <patternFill patternType="solid">
        <fgColor theme="2" tint="-0.1"/>
        <bgColor rgb="FFD9D9D9"/>
      </patternFill>
    </fill>
    <fill>
      <patternFill patternType="solid">
        <fgColor rgb="FFD9EAD3"/>
        <bgColor rgb="FFD9D9D9"/>
      </patternFill>
    </fill>
    <fill>
      <patternFill patternType="solid">
        <fgColor theme="7" tint="0.7999"/>
        <bgColor rgb="FFD9EAD3"/>
      </patternFill>
    </fill>
    <fill>
      <patternFill patternType="solid">
        <fgColor rgb="FFE6B8AF"/>
        <bgColor rgb="FFD1D1D1"/>
      </patternFill>
    </fill>
    <fill>
      <patternFill patternType="solid">
        <fgColor rgb="FFB7E1CD"/>
        <bgColor rgb="FFD0DAF0"/>
      </patternFill>
    </fill>
    <fill>
      <patternFill patternType="solid">
        <fgColor rgb="FFD9D2E9"/>
        <bgColor rgb="FFD9D9D9"/>
      </patternFill>
    </fill>
    <fill>
      <patternFill patternType="solid">
        <fgColor theme="3" tint="0.7499"/>
        <bgColor rgb="FFB7E1CD"/>
      </patternFill>
    </fill>
    <fill>
      <patternFill patternType="solid">
        <fgColor theme="8" tint="0.7999"/>
        <bgColor rgb="FFD9D2E9"/>
      </patternFill>
    </fill>
  </fills>
  <borders count="54">
    <border diagonalUp="false" diagonalDown="false">
      <left/>
      <right/>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right style="thin"/>
      <top/>
      <bottom/>
      <diagonal/>
    </border>
    <border diagonalUp="false" diagonalDown="false">
      <left/>
      <right style="thin"/>
      <top/>
      <bottom style="thin"/>
      <diagonal/>
    </border>
    <border diagonalUp="false" diagonalDown="false">
      <left style="medium"/>
      <right style="medium"/>
      <top/>
      <bottom style="medium"/>
      <diagonal/>
    </border>
    <border diagonalUp="false" diagonalDown="false">
      <left style="thin"/>
      <right/>
      <top/>
      <bottom style="thin"/>
      <diagonal/>
    </border>
    <border diagonalUp="false" diagonalDown="false">
      <left style="medium"/>
      <right style="medium"/>
      <top style="thin"/>
      <bottom style="thin"/>
      <diagonal/>
    </border>
    <border diagonalUp="false" diagonalDown="false">
      <left style="medium"/>
      <right style="medium"/>
      <top style="medium"/>
      <bottom style="medium"/>
      <diagonal/>
    </border>
    <border diagonalUp="false" diagonalDown="false">
      <left style="medium"/>
      <right style="thin"/>
      <top style="medium"/>
      <bottom style="medium"/>
      <diagonal/>
    </border>
    <border diagonalUp="false" diagonalDown="false">
      <left style="thin"/>
      <right style="thin"/>
      <top style="thin"/>
      <bottom/>
      <diagonal/>
    </border>
    <border diagonalUp="false" diagonalDown="false">
      <left style="medium"/>
      <right style="thin"/>
      <top/>
      <bottom style="medium"/>
      <diagonal/>
    </border>
    <border diagonalUp="false" diagonalDown="false">
      <left style="medium"/>
      <right style="thin"/>
      <top style="thin"/>
      <bottom style="thin"/>
      <diagonal/>
    </border>
    <border diagonalUp="false" diagonalDown="false">
      <left style="thin"/>
      <right/>
      <top/>
      <bottom/>
      <diagonal/>
    </border>
    <border diagonalUp="false" diagonalDown="false">
      <left style="medium"/>
      <right/>
      <top style="medium"/>
      <bottom style="thin"/>
      <diagonal/>
    </border>
    <border diagonalUp="false" diagonalDown="false">
      <left/>
      <right style="thin"/>
      <top style="medium"/>
      <bottom style="thin"/>
      <diagonal/>
    </border>
    <border diagonalUp="false" diagonalDown="false">
      <left style="thin"/>
      <right/>
      <top style="medium"/>
      <bottom style="thin"/>
      <diagonal/>
    </border>
    <border diagonalUp="false" diagonalDown="false">
      <left/>
      <right/>
      <top style="medium"/>
      <bottom style="thin"/>
      <diagonal/>
    </border>
    <border diagonalUp="false" diagonalDown="false">
      <left style="medium"/>
      <right/>
      <top style="thin"/>
      <bottom style="thin"/>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top style="thin"/>
      <bottom/>
      <diagonal/>
    </border>
    <border diagonalUp="false" diagonalDown="false">
      <left/>
      <right/>
      <top style="thin"/>
      <bottom style="medium"/>
      <diagonal/>
    </border>
    <border diagonalUp="false" diagonalDown="false">
      <left/>
      <right/>
      <top style="medium"/>
      <botto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thin"/>
      <top/>
      <bottom style="thin"/>
      <diagonal/>
    </border>
    <border diagonalUp="false" diagonalDown="false">
      <left/>
      <right/>
      <top/>
      <bottom style="thin"/>
      <diagonal/>
    </border>
    <border diagonalUp="false" diagonalDown="false">
      <left/>
      <right style="medium"/>
      <top/>
      <bottom style="thin"/>
      <diagonal/>
    </border>
    <border diagonalUp="false" diagonalDown="false">
      <left/>
      <right style="medium"/>
      <top/>
      <bottom/>
      <diagonal/>
    </border>
    <border diagonalUp="false" diagonalDown="false">
      <left/>
      <right style="medium"/>
      <top style="thin"/>
      <bottom style="thin"/>
      <diagonal/>
    </border>
    <border diagonalUp="false" diagonalDown="false">
      <left style="medium"/>
      <right style="thin"/>
      <top/>
      <bottom/>
      <diagonal/>
    </border>
    <border diagonalUp="false" diagonalDown="false">
      <left style="thin"/>
      <right style="thin"/>
      <top/>
      <bottom/>
      <diagonal/>
    </border>
    <border diagonalUp="false" diagonalDown="false">
      <left/>
      <right/>
      <top style="thin"/>
      <bottom/>
      <diagonal/>
    </border>
    <border diagonalUp="false" diagonalDown="false">
      <left/>
      <right style="medium"/>
      <top style="thin"/>
      <bottom/>
      <diagonal/>
    </border>
    <border diagonalUp="false" diagonalDown="false">
      <left style="thin"/>
      <right style="medium"/>
      <top style="medium"/>
      <bottom style="medium"/>
      <diagonal/>
    </border>
    <border diagonalUp="false" diagonalDown="false">
      <left style="medium"/>
      <right/>
      <top style="medium"/>
      <bottom/>
      <diagonal/>
    </border>
    <border diagonalUp="false" diagonalDown="false">
      <left style="thin"/>
      <right style="medium"/>
      <top style="thin"/>
      <bottom style="thin"/>
      <diagonal/>
    </border>
    <border diagonalUp="false" diagonalDown="false">
      <left style="medium"/>
      <right style="medium"/>
      <top style="medium"/>
      <bottom style="thin"/>
      <diagonal/>
    </border>
    <border diagonalUp="false" diagonalDown="false">
      <left style="thin"/>
      <right style="medium"/>
      <top style="medium"/>
      <bottom style="thin"/>
      <diagonal/>
    </border>
    <border diagonalUp="false" diagonalDown="false">
      <left style="medium"/>
      <right style="medium"/>
      <top style="thin"/>
      <bottom style="medium"/>
      <diagonal/>
    </border>
    <border diagonalUp="false" diagonalDown="false">
      <left style="thin"/>
      <right style="medium"/>
      <top/>
      <bottom style="medium"/>
      <diagonal/>
    </border>
    <border diagonalUp="false" diagonalDown="false">
      <left style="thin"/>
      <right style="medium"/>
      <top style="thin"/>
      <bottom style="medium"/>
      <diagonal/>
    </border>
    <border diagonalUp="false" diagonalDown="false">
      <left/>
      <right style="medium"/>
      <top style="medium"/>
      <bottom style="thin"/>
      <diagonal/>
    </border>
    <border diagonalUp="false" diagonalDown="false">
      <left/>
      <right style="medium"/>
      <top style="thin"/>
      <bottom style="medium"/>
      <diagonal/>
    </border>
    <border diagonalUp="false" diagonalDown="false">
      <left/>
      <right style="medium"/>
      <top style="medium"/>
      <bottom/>
      <diagonal/>
    </border>
  </borders>
  <cellStyleXfs count="23">
    <xf numFmtId="164" fontId="0" fillId="0" borderId="0" applyFont="true" applyBorder="true" applyAlignment="true" applyProtection="true">
      <alignment horizontal="general"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7" fillId="0" borderId="0" applyFont="true" applyBorder="false" applyAlignment="true" applyProtection="false">
      <alignment horizontal="general" vertical="top" textRotation="0" wrapText="tru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false" applyAlignment="true" applyProtection="false">
      <alignment horizontal="general" vertical="top" textRotation="0" wrapText="true" indent="0" shrinkToFit="false"/>
    </xf>
  </cellStyleXfs>
  <cellXfs count="316">
    <xf numFmtId="164" fontId="0" fillId="0" borderId="0" xfId="0" applyFont="false" applyBorder="false" applyAlignment="false" applyProtection="false">
      <alignment horizontal="general" vertical="top" textRotation="0" wrapText="tru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true" applyAlignment="true" applyProtection="true">
      <alignment horizontal="general" vertical="bottom" textRotation="0" wrapText="tru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top" textRotation="0" wrapText="true" indent="0" shrinkToFit="false"/>
      <protection locked="true" hidden="false"/>
    </xf>
    <xf numFmtId="164" fontId="9" fillId="2" borderId="0" xfId="0" applyFont="true" applyBorder="true" applyAlignment="true" applyProtection="true">
      <alignment horizontal="general" vertical="center" textRotation="0" wrapText="false" indent="0" shrinkToFit="false"/>
      <protection locked="true" hidden="false"/>
    </xf>
    <xf numFmtId="164" fontId="9" fillId="2" borderId="0"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true" applyAlignment="true" applyProtection="true">
      <alignment horizontal="general" vertical="center" textRotation="0" wrapText="true" indent="0" shrinkToFit="false"/>
      <protection locked="true" hidden="false"/>
    </xf>
    <xf numFmtId="164" fontId="11" fillId="2" borderId="0"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general" vertical="center" textRotation="0" wrapText="false" indent="0" shrinkToFit="false"/>
      <protection locked="true" hidden="false"/>
    </xf>
    <xf numFmtId="164" fontId="12" fillId="3" borderId="2" xfId="0" applyFont="true" applyBorder="true" applyAlignment="true" applyProtection="true">
      <alignment horizontal="general" vertical="center" textRotation="0" wrapText="false" indent="0" shrinkToFit="false"/>
      <protection locked="true" hidden="false"/>
    </xf>
    <xf numFmtId="165" fontId="13" fillId="4" borderId="1" xfId="0" applyFont="true" applyBorder="true" applyAlignment="true" applyProtection="true">
      <alignment horizontal="left" vertical="center" textRotation="0" wrapText="false" indent="0" shrinkToFit="false"/>
      <protection locked="true" hidden="false"/>
    </xf>
    <xf numFmtId="165" fontId="13" fillId="4" borderId="3" xfId="0" applyFont="true" applyBorder="true" applyAlignment="true" applyProtection="true">
      <alignment horizontal="left" vertical="center" textRotation="0" wrapText="true" indent="0" shrinkToFit="false"/>
      <protection locked="true" hidden="false"/>
    </xf>
    <xf numFmtId="165" fontId="13" fillId="4" borderId="3" xfId="0" applyFont="true" applyBorder="true" applyAlignment="true" applyProtection="true">
      <alignment horizontal="left" vertical="center" textRotation="0" wrapText="false" indent="0" shrinkToFit="false"/>
      <protection locked="true" hidden="false"/>
    </xf>
    <xf numFmtId="164" fontId="6" fillId="0" borderId="2" xfId="0" applyFont="true" applyBorder="true" applyAlignment="true" applyProtection="true">
      <alignment horizontal="general" vertical="bottom" textRotation="0" wrapText="false" indent="0" shrinkToFit="false"/>
      <protection locked="true" hidden="false"/>
    </xf>
    <xf numFmtId="164" fontId="14" fillId="5" borderId="4" xfId="0" applyFont="true" applyBorder="true" applyAlignment="true" applyProtection="true">
      <alignment horizontal="general" vertical="center" textRotation="0" wrapText="false" indent="0" shrinkToFit="false"/>
      <protection locked="true" hidden="false"/>
    </xf>
    <xf numFmtId="164" fontId="14" fillId="5" borderId="5" xfId="0" applyFont="true" applyBorder="true" applyAlignment="true" applyProtection="true">
      <alignment horizontal="general" vertical="center" textRotation="0" wrapText="false" indent="0" shrinkToFit="false"/>
      <protection locked="true" hidden="false"/>
    </xf>
    <xf numFmtId="164" fontId="14" fillId="5" borderId="4" xfId="0" applyFont="true" applyBorder="true" applyAlignment="true" applyProtection="true">
      <alignment horizontal="center" vertical="center" textRotation="0" wrapText="true" indent="0" shrinkToFit="false"/>
      <protection locked="true" hidden="false"/>
    </xf>
    <xf numFmtId="166" fontId="14" fillId="5" borderId="4" xfId="0" applyFont="true" applyBorder="true" applyAlignment="true" applyProtection="true">
      <alignment horizontal="left" vertical="center" textRotation="0" wrapText="true" indent="0" shrinkToFit="false"/>
      <protection locked="true" hidden="false"/>
    </xf>
    <xf numFmtId="166" fontId="15" fillId="5" borderId="4" xfId="0" applyFont="true" applyBorder="true" applyAlignment="true" applyProtection="true">
      <alignment horizontal="left" vertical="center" textRotation="0" wrapText="true" indent="0" shrinkToFit="false"/>
      <protection locked="true" hidden="false"/>
    </xf>
    <xf numFmtId="164" fontId="12" fillId="6" borderId="0" xfId="0" applyFont="true" applyBorder="true" applyAlignment="true" applyProtection="true">
      <alignment horizontal="general" vertical="center" textRotation="0" wrapText="false" indent="0" shrinkToFit="false"/>
      <protection locked="true" hidden="false"/>
    </xf>
    <xf numFmtId="164" fontId="16" fillId="6" borderId="0" xfId="0" applyFont="true" applyBorder="true" applyAlignment="true" applyProtection="true">
      <alignment horizontal="general" vertical="center" textRotation="0" wrapText="false" indent="0" shrinkToFit="false"/>
      <protection locked="true" hidden="false"/>
    </xf>
    <xf numFmtId="164" fontId="16" fillId="6" borderId="0" xfId="0" applyFont="true" applyBorder="true" applyAlignment="true" applyProtection="true">
      <alignment horizontal="center" vertical="center" textRotation="0" wrapText="false" indent="0" shrinkToFit="false"/>
      <protection locked="true" hidden="false"/>
    </xf>
    <xf numFmtId="164" fontId="16" fillId="6" borderId="0" xfId="0" applyFont="true" applyBorder="true" applyAlignment="true" applyProtection="true">
      <alignment horizontal="general" vertical="center" textRotation="0" wrapText="true" indent="0" shrinkToFit="false"/>
      <protection locked="true" hidden="false"/>
    </xf>
    <xf numFmtId="164" fontId="16" fillId="6" borderId="6" xfId="0" applyFont="true" applyBorder="true" applyAlignment="true" applyProtection="true">
      <alignment horizontal="general" vertical="center" textRotation="0" wrapText="false" indent="0" shrinkToFit="false"/>
      <protection locked="true" hidden="false"/>
    </xf>
    <xf numFmtId="164" fontId="16" fillId="6" borderId="7" xfId="0" applyFont="true" applyBorder="true" applyAlignment="true" applyProtection="true">
      <alignment horizontal="general" vertical="center" textRotation="0" wrapText="false" indent="0" shrinkToFit="false"/>
      <protection locked="true" hidden="false"/>
    </xf>
    <xf numFmtId="164" fontId="13" fillId="6" borderId="0" xfId="0" applyFont="true" applyBorder="true" applyAlignment="true" applyProtection="true">
      <alignment horizontal="general" vertical="center" textRotation="0" wrapText="false" indent="0" shrinkToFit="false"/>
      <protection locked="true" hidden="false"/>
    </xf>
    <xf numFmtId="164" fontId="17" fillId="6" borderId="0" xfId="20" applyFont="true" applyBorder="true" applyAlignment="true" applyProtection="true">
      <alignment horizontal="general" vertical="center" textRotation="0" wrapText="false" indent="0" shrinkToFit="false"/>
      <protection locked="true" hidden="false"/>
    </xf>
    <xf numFmtId="164" fontId="16" fillId="6" borderId="8" xfId="0" applyFont="true" applyBorder="true" applyAlignment="true" applyProtection="true">
      <alignment horizontal="general" vertical="center" textRotation="0" wrapText="false" indent="0" shrinkToFit="false"/>
      <protection locked="true" hidden="false"/>
    </xf>
    <xf numFmtId="164" fontId="14" fillId="5" borderId="5" xfId="22" applyFont="true" applyBorder="true" applyAlignment="true" applyProtection="true">
      <alignment horizontal="general" vertical="center" textRotation="0" wrapText="false" indent="0" shrinkToFit="false"/>
      <protection locked="true" hidden="false"/>
    </xf>
    <xf numFmtId="164" fontId="14" fillId="5" borderId="5" xfId="0" applyFont="true" applyBorder="true" applyAlignment="true" applyProtection="true">
      <alignment horizontal="center" vertical="center" textRotation="0" wrapText="false" indent="0" shrinkToFit="false"/>
      <protection locked="true" hidden="false"/>
    </xf>
    <xf numFmtId="164" fontId="14" fillId="5" borderId="5" xfId="0" applyFont="true" applyBorder="true" applyAlignment="true" applyProtection="true">
      <alignment horizontal="center" vertical="center" textRotation="0" wrapText="true" indent="0" shrinkToFit="false"/>
      <protection locked="true" hidden="false"/>
    </xf>
    <xf numFmtId="166" fontId="15" fillId="5" borderId="5" xfId="0" applyFont="true" applyBorder="true" applyAlignment="true" applyProtection="true">
      <alignment horizontal="left" vertical="center" textRotation="0" wrapText="true" indent="0" shrinkToFit="false"/>
      <protection locked="true" hidden="false"/>
    </xf>
    <xf numFmtId="164" fontId="6" fillId="3" borderId="5" xfId="0" applyFont="true" applyBorder="true" applyAlignment="true" applyProtection="true">
      <alignment horizontal="general" vertical="center" textRotation="0" wrapText="true" indent="0" shrinkToFit="false"/>
      <protection locked="true" hidden="false"/>
    </xf>
    <xf numFmtId="164" fontId="18" fillId="3" borderId="5"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64" fontId="19" fillId="0" borderId="3" xfId="0" applyFont="true" applyBorder="true" applyAlignment="true" applyProtection="true">
      <alignment horizontal="general" vertical="center" textRotation="0" wrapText="true" indent="0" shrinkToFit="false"/>
      <protection locked="true" hidden="false"/>
    </xf>
    <xf numFmtId="164" fontId="19" fillId="0" borderId="3" xfId="0" applyFont="true" applyBorder="true" applyAlignment="true" applyProtection="true">
      <alignment horizontal="general" vertical="center" textRotation="0" wrapText="fals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false" indent="0" shrinkToFit="false"/>
      <protection locked="true" hidden="false"/>
    </xf>
    <xf numFmtId="164" fontId="14" fillId="5" borderId="2" xfId="0" applyFont="true" applyBorder="true" applyAlignment="true" applyProtection="true">
      <alignment horizontal="general" vertical="center" textRotation="0" wrapText="false" indent="0" shrinkToFit="false"/>
      <protection locked="true" hidden="false"/>
    </xf>
    <xf numFmtId="164" fontId="14" fillId="5" borderId="4" xfId="0" applyFont="true" applyBorder="true" applyAlignment="true" applyProtection="true">
      <alignment horizontal="center" vertical="center" textRotation="0" wrapText="false" indent="0" shrinkToFit="false"/>
      <protection locked="true" hidden="false"/>
    </xf>
    <xf numFmtId="164" fontId="21" fillId="7" borderId="9" xfId="0" applyFont="true" applyBorder="true" applyAlignment="true" applyProtection="true">
      <alignment horizontal="center" vertical="center" textRotation="0" wrapText="true" indent="0" shrinkToFit="false"/>
      <protection locked="true" hidden="false"/>
    </xf>
    <xf numFmtId="164" fontId="18" fillId="3" borderId="10" xfId="0" applyFont="true" applyBorder="true" applyAlignment="true" applyProtection="true">
      <alignment horizontal="left" vertical="center" textRotation="0" wrapText="true" indent="0" shrinkToFit="false"/>
      <protection locked="true" hidden="false"/>
    </xf>
    <xf numFmtId="164" fontId="18" fillId="4" borderId="5" xfId="0" applyFont="true" applyBorder="true" applyAlignment="true" applyProtection="true">
      <alignment horizontal="center" vertical="center" textRotation="0" wrapText="true" indent="0" shrinkToFit="false"/>
      <protection locked="true" hidden="false"/>
    </xf>
    <xf numFmtId="164" fontId="8" fillId="0" borderId="2" xfId="0" applyFont="true" applyBorder="true" applyAlignment="true" applyProtection="true">
      <alignment horizontal="general" vertical="center" textRotation="0" wrapText="true" indent="0" shrinkToFit="false"/>
      <protection locked="true" hidden="false"/>
    </xf>
    <xf numFmtId="166" fontId="22" fillId="3" borderId="10" xfId="0" applyFont="true" applyBorder="true" applyAlignment="true" applyProtection="true">
      <alignment horizontal="general" vertical="center" textRotation="0" wrapText="true" indent="0" shrinkToFit="false"/>
      <protection locked="true" hidden="false"/>
    </xf>
    <xf numFmtId="164" fontId="5" fillId="8" borderId="11" xfId="0" applyFont="true" applyBorder="true" applyAlignment="true" applyProtection="true">
      <alignment horizontal="general" vertical="top"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true" applyAlignment="true" applyProtection="true">
      <alignment horizontal="general" vertical="bottom" textRotation="0" wrapText="false" indent="0" shrinkToFit="true"/>
      <protection locked="true" hidden="false"/>
    </xf>
    <xf numFmtId="164" fontId="21" fillId="7" borderId="12" xfId="0" applyFont="true" applyBorder="true" applyAlignment="true" applyProtection="true">
      <alignment horizontal="center" vertical="center" textRotation="0" wrapText="true" indent="0" shrinkToFit="false"/>
      <protection locked="true" hidden="false"/>
    </xf>
    <xf numFmtId="164" fontId="8" fillId="4" borderId="5" xfId="0" applyFont="true" applyBorder="true" applyAlignment="true" applyProtection="true">
      <alignment horizontal="general" vertical="center" textRotation="0" wrapText="true" indent="0" shrinkToFit="false"/>
      <protection locked="true" hidden="false"/>
    </xf>
    <xf numFmtId="164" fontId="6" fillId="3" borderId="2" xfId="0" applyFont="true" applyBorder="true" applyAlignment="true" applyProtection="true">
      <alignment horizontal="general" vertical="center" textRotation="0" wrapText="true" indent="0" shrinkToFit="false"/>
      <protection locked="true" hidden="false"/>
    </xf>
    <xf numFmtId="164" fontId="24" fillId="0" borderId="0" xfId="0" applyFont="true" applyBorder="true" applyAlignment="true" applyProtection="true">
      <alignment horizontal="general" vertical="center" textRotation="0" wrapText="false" indent="0" shrinkToFit="false"/>
      <protection locked="true" hidden="false"/>
    </xf>
    <xf numFmtId="164" fontId="18" fillId="0" borderId="0" xfId="0" applyFont="true" applyBorder="true" applyAlignment="true" applyProtection="true">
      <alignment horizontal="left" vertical="center" textRotation="0" wrapText="true" indent="0" shrinkToFit="false"/>
      <protection locked="true" hidden="false"/>
    </xf>
    <xf numFmtId="164" fontId="18" fillId="0" borderId="0" xfId="0" applyFont="true" applyBorder="true" applyAlignment="true" applyProtection="true">
      <alignment horizontal="center" vertical="center" textRotation="0" wrapText="true" indent="0" shrinkToFit="false"/>
      <protection locked="true" hidden="false"/>
    </xf>
    <xf numFmtId="164" fontId="8" fillId="0" borderId="0" xfId="0" applyFont="true" applyBorder="true" applyAlignment="true" applyProtection="true">
      <alignment horizontal="general" vertical="center" textRotation="0" wrapText="true" indent="0" shrinkToFit="false"/>
      <protection locked="true" hidden="false"/>
    </xf>
    <xf numFmtId="166" fontId="22" fillId="0" borderId="0"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true" applyAlignment="true" applyProtection="true">
      <alignment horizontal="general" vertical="top" textRotation="0" wrapText="tru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5" fontId="13" fillId="4" borderId="1" xfId="0" applyFont="true" applyBorder="true" applyAlignment="true" applyProtection="true">
      <alignment horizontal="center" vertical="center" textRotation="0" wrapText="false" indent="0" shrinkToFit="false"/>
      <protection locked="true" hidden="false"/>
    </xf>
    <xf numFmtId="164" fontId="13" fillId="6" borderId="0" xfId="0" applyFont="true" applyBorder="true" applyAlignment="true" applyProtection="true">
      <alignment horizontal="center" vertical="center" textRotation="0" wrapText="false" indent="0" shrinkToFit="false"/>
      <protection locked="true" hidden="false"/>
    </xf>
    <xf numFmtId="164" fontId="13" fillId="6" borderId="0" xfId="0" applyFont="true" applyBorder="true" applyAlignment="true" applyProtection="true">
      <alignment horizontal="general" vertical="center" textRotation="0" wrapText="true" indent="0" shrinkToFit="false"/>
      <protection locked="true" hidden="false"/>
    </xf>
    <xf numFmtId="164" fontId="13" fillId="6" borderId="8" xfId="0" applyFont="true" applyBorder="true" applyAlignment="true" applyProtection="true">
      <alignment horizontal="general" vertical="center"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26" fillId="0" borderId="0"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center" textRotation="0" wrapText="true" indent="0" shrinkToFit="false"/>
      <protection locked="true" hidden="false"/>
    </xf>
    <xf numFmtId="164" fontId="27" fillId="0" borderId="5"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general" vertical="center" textRotation="0" wrapText="true" indent="0" shrinkToFit="false"/>
      <protection locked="true" hidden="false"/>
    </xf>
    <xf numFmtId="164" fontId="28" fillId="0" borderId="2" xfId="0" applyFont="true" applyBorder="true" applyAlignment="true" applyProtection="true">
      <alignment horizontal="general" vertical="center" textRotation="0" wrapText="true" indent="0" shrinkToFit="false"/>
      <protection locked="true" hidden="false"/>
    </xf>
    <xf numFmtId="164" fontId="19" fillId="0" borderId="0"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true">
      <alignment horizontal="general" vertical="top"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true">
      <alignment horizontal="center" vertical="bottom" textRotation="0" wrapText="true" indent="0" shrinkToFit="false"/>
      <protection locked="true" hidden="false"/>
    </xf>
    <xf numFmtId="164" fontId="0" fillId="0" borderId="0" xfId="0" applyFont="false" applyBorder="true" applyAlignment="true" applyProtection="true">
      <alignment horizontal="general" vertical="top" textRotation="0" wrapText="true" indent="0" shrinkToFit="false"/>
      <protection locked="true" hidden="false"/>
    </xf>
    <xf numFmtId="164" fontId="18" fillId="0" borderId="1" xfId="0" applyFont="true" applyBorder="true" applyAlignment="true" applyProtection="true">
      <alignment horizontal="center" vertical="center" textRotation="0" wrapText="false" indent="0" shrinkToFit="false"/>
      <protection locked="true" hidden="false"/>
    </xf>
    <xf numFmtId="164" fontId="18" fillId="0" borderId="1" xfId="0" applyFont="true" applyBorder="true" applyAlignment="true" applyProtection="true">
      <alignment horizontal="general" vertical="center" textRotation="0" wrapText="true" indent="0" shrinkToFit="false"/>
      <protection locked="true" hidden="false"/>
    </xf>
    <xf numFmtId="164" fontId="18" fillId="0" borderId="5" xfId="0" applyFont="true" applyBorder="true" applyAlignment="true" applyProtection="true">
      <alignment horizontal="general" vertical="center" textRotation="0" wrapText="true" indent="0" shrinkToFit="false"/>
      <protection locked="true" hidden="false"/>
    </xf>
    <xf numFmtId="164" fontId="18" fillId="0" borderId="2" xfId="0" applyFont="true" applyBorder="true" applyAlignment="true" applyProtection="true">
      <alignment horizontal="general" vertical="center" textRotation="0" wrapText="true" indent="0" shrinkToFit="false"/>
      <protection locked="true" hidden="false"/>
    </xf>
    <xf numFmtId="164" fontId="18" fillId="0" borderId="5" xfId="0" applyFont="true" applyBorder="true" applyAlignment="true" applyProtection="true">
      <alignment horizontal="center" vertical="center" textRotation="0" wrapText="false" indent="0" shrinkToFit="false"/>
      <protection locked="true" hidden="false"/>
    </xf>
    <xf numFmtId="164" fontId="18" fillId="0" borderId="0" xfId="0" applyFont="true" applyBorder="true" applyAlignment="true" applyProtection="true">
      <alignment horizontal="general"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29" fillId="0" borderId="2" xfId="0" applyFont="true" applyBorder="true" applyAlignment="true" applyProtection="true">
      <alignment horizontal="general" vertical="center" textRotation="0" wrapText="true" indent="0" shrinkToFit="false"/>
      <protection locked="true" hidden="false"/>
    </xf>
    <xf numFmtId="164" fontId="19" fillId="0" borderId="5" xfId="0" applyFont="true" applyBorder="true" applyAlignment="true" applyProtection="true">
      <alignment horizontal="general" vertical="center" textRotation="0" wrapText="true" indent="0" shrinkToFit="false"/>
      <protection locked="true" hidden="false"/>
    </xf>
    <xf numFmtId="164" fontId="6" fillId="0" borderId="7" xfId="0" applyFont="true" applyBorder="true" applyAlignment="true" applyProtection="true">
      <alignment horizontal="general" vertical="bottom" textRotation="0" wrapText="false" indent="0" shrinkToFit="false"/>
      <protection locked="true" hidden="false"/>
    </xf>
    <xf numFmtId="164" fontId="11" fillId="2" borderId="7" xfId="0" applyFont="true" applyBorder="true" applyAlignment="true" applyProtection="true">
      <alignment horizontal="center" vertical="center" textRotation="0" wrapText="true" indent="0" shrinkToFit="false"/>
      <protection locked="true" hidden="false"/>
    </xf>
    <xf numFmtId="164" fontId="21" fillId="7" borderId="13" xfId="0" applyFont="true" applyBorder="true" applyAlignment="true" applyProtection="true">
      <alignment horizontal="center" vertical="center" textRotation="0" wrapText="true" indent="0" shrinkToFit="false"/>
      <protection locked="true" hidden="false"/>
    </xf>
    <xf numFmtId="164" fontId="30" fillId="0" borderId="0" xfId="0" applyFont="true" applyBorder="true" applyAlignment="true" applyProtection="true">
      <alignment horizontal="general" vertical="top" textRotation="0" wrapText="false" indent="0" shrinkToFit="true"/>
      <protection locked="true" hidden="false"/>
    </xf>
    <xf numFmtId="164" fontId="7" fillId="0" borderId="0" xfId="0" applyFont="true" applyBorder="true" applyAlignment="true" applyProtection="true">
      <alignment horizontal="general" vertical="center" textRotation="0" wrapText="true" indent="0" shrinkToFit="false"/>
      <protection locked="true" hidden="false"/>
    </xf>
    <xf numFmtId="164" fontId="6" fillId="0" borderId="7" xfId="0" applyFont="true" applyBorder="true" applyAlignment="true" applyProtection="true">
      <alignment horizontal="general" vertical="center" textRotation="0" wrapText="false" indent="0" shrinkToFit="false"/>
      <protection locked="true" hidden="false"/>
    </xf>
    <xf numFmtId="164" fontId="12" fillId="3" borderId="3" xfId="0" applyFont="true" applyBorder="true" applyAlignment="true" applyProtection="true">
      <alignment horizontal="general" vertical="center" textRotation="0" wrapText="false" indent="0" shrinkToFit="false"/>
      <protection locked="true" hidden="false"/>
    </xf>
    <xf numFmtId="164" fontId="14" fillId="5" borderId="14" xfId="0" applyFont="true" applyBorder="true" applyAlignment="true" applyProtection="true">
      <alignment horizontal="center" vertical="center" textRotation="0" wrapText="true" indent="0" shrinkToFit="false"/>
      <protection locked="true" hidden="false"/>
    </xf>
    <xf numFmtId="166" fontId="15" fillId="5" borderId="14"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true">
      <alignment horizontal="left" vertical="center" textRotation="0" wrapText="true" indent="0" shrinkToFit="false"/>
      <protection locked="true" hidden="false"/>
    </xf>
    <xf numFmtId="164" fontId="21" fillId="7" borderId="15" xfId="0" applyFont="true" applyBorder="true" applyAlignment="true" applyProtection="true">
      <alignment horizontal="center" vertical="center" textRotation="0" wrapText="true" indent="0" shrinkToFit="false"/>
      <protection locked="true" hidden="false"/>
    </xf>
    <xf numFmtId="166" fontId="31" fillId="3" borderId="10" xfId="0" applyFont="true" applyBorder="true" applyAlignment="true" applyProtection="true">
      <alignment horizontal="general" vertical="center" textRotation="0" wrapText="true" indent="0" shrinkToFit="false"/>
      <protection locked="true" hidden="false"/>
    </xf>
    <xf numFmtId="164" fontId="5" fillId="8" borderId="16" xfId="0" applyFont="true" applyBorder="true" applyAlignment="true" applyProtection="true">
      <alignment horizontal="general" vertical="center" textRotation="0" wrapText="true" indent="0" shrinkToFit="false"/>
      <protection locked="true" hidden="false"/>
    </xf>
    <xf numFmtId="164" fontId="5" fillId="0" borderId="0" xfId="22" applyFont="true" applyBorder="true" applyAlignment="true" applyProtection="true">
      <alignment horizontal="general" vertical="top" textRotation="0" wrapText="true" indent="0" shrinkToFit="false"/>
      <protection locked="true" hidden="false"/>
    </xf>
    <xf numFmtId="164" fontId="32" fillId="7" borderId="0" xfId="22" applyFont="true" applyBorder="true" applyAlignment="true" applyProtection="true">
      <alignment horizontal="left" vertical="center" textRotation="0" wrapText="false" indent="0" shrinkToFit="false"/>
      <protection locked="true" hidden="false"/>
    </xf>
    <xf numFmtId="164" fontId="9" fillId="7" borderId="0" xfId="22" applyFont="true" applyBorder="true" applyAlignment="true" applyProtection="true">
      <alignment horizontal="left" vertical="center" textRotation="0" wrapText="false" indent="0" shrinkToFit="false"/>
      <protection locked="true" hidden="false"/>
    </xf>
    <xf numFmtId="164" fontId="12" fillId="7" borderId="0" xfId="22" applyFont="true" applyBorder="true" applyAlignment="true" applyProtection="true">
      <alignment horizontal="center" vertical="center" textRotation="0" wrapText="true" indent="0" shrinkToFit="false"/>
      <protection locked="true" hidden="false"/>
    </xf>
    <xf numFmtId="164" fontId="11" fillId="7" borderId="0" xfId="22" applyFont="true" applyBorder="true" applyAlignment="true" applyProtection="true">
      <alignment horizontal="center" vertical="center" textRotation="0" wrapText="true" indent="0" shrinkToFit="false"/>
      <protection locked="true" hidden="false"/>
    </xf>
    <xf numFmtId="164" fontId="33" fillId="3" borderId="0" xfId="22" applyFont="true" applyBorder="true" applyAlignment="true" applyProtection="true">
      <alignment horizontal="left" vertical="center" textRotation="0" wrapText="false" indent="0" shrinkToFit="false"/>
      <protection locked="true" hidden="false"/>
    </xf>
    <xf numFmtId="164" fontId="14" fillId="5" borderId="17" xfId="22" applyFont="true" applyBorder="true" applyAlignment="true" applyProtection="true">
      <alignment horizontal="left" vertical="center" textRotation="0" wrapText="false" indent="0" shrinkToFit="false"/>
      <protection locked="true" hidden="false"/>
    </xf>
    <xf numFmtId="164" fontId="14" fillId="5" borderId="0" xfId="22" applyFont="true" applyBorder="true" applyAlignment="true" applyProtection="true">
      <alignment horizontal="left" vertical="center" textRotation="0" wrapText="false" indent="0" shrinkToFit="false"/>
      <protection locked="true" hidden="false"/>
    </xf>
    <xf numFmtId="164" fontId="16" fillId="6" borderId="0" xfId="22" applyFont="true" applyBorder="true" applyAlignment="true" applyProtection="true">
      <alignment horizontal="left" vertical="center" textRotation="0" wrapText="false" indent="0" shrinkToFit="false"/>
      <protection locked="true" hidden="false"/>
    </xf>
    <xf numFmtId="164" fontId="5" fillId="0" borderId="0" xfId="22" applyFont="true" applyBorder="true" applyAlignment="true" applyProtection="true">
      <alignment horizontal="general" vertical="top" textRotation="0" wrapText="false" indent="0" shrinkToFit="false"/>
      <protection locked="true" hidden="false"/>
    </xf>
    <xf numFmtId="164" fontId="17" fillId="6" borderId="0" xfId="20" applyFont="true" applyBorder="true" applyAlignment="true" applyProtection="true">
      <alignment horizontal="left" vertical="center" textRotation="0" wrapText="false" indent="0" shrinkToFit="false"/>
      <protection locked="true" hidden="false"/>
    </xf>
    <xf numFmtId="164" fontId="16" fillId="6" borderId="0" xfId="22" applyFont="true" applyBorder="true" applyAlignment="true" applyProtection="true">
      <alignment horizontal="left" vertical="center" textRotation="0" wrapText="true" indent="0" shrinkToFit="false"/>
      <protection locked="true" hidden="false"/>
    </xf>
    <xf numFmtId="164" fontId="34" fillId="3" borderId="18" xfId="22" applyFont="true" applyBorder="true" applyAlignment="true" applyProtection="true">
      <alignment horizontal="general" vertical="center" textRotation="0" wrapText="false" indent="0" shrinkToFit="false"/>
      <protection locked="true" hidden="false"/>
    </xf>
    <xf numFmtId="164" fontId="34" fillId="3" borderId="19" xfId="22" applyFont="true" applyBorder="true" applyAlignment="true" applyProtection="true">
      <alignment horizontal="general" vertical="center" textRotation="0" wrapText="true" indent="0" shrinkToFit="false"/>
      <protection locked="true" hidden="false"/>
    </xf>
    <xf numFmtId="164" fontId="6" fillId="0" borderId="20" xfId="22" applyFont="true" applyBorder="true" applyAlignment="true" applyProtection="true">
      <alignment horizontal="left" vertical="center" textRotation="0" wrapText="false" indent="0" shrinkToFit="false"/>
      <protection locked="true" hidden="false"/>
    </xf>
    <xf numFmtId="164" fontId="6" fillId="0" borderId="21" xfId="22" applyFont="true" applyBorder="true" applyAlignment="true" applyProtection="true">
      <alignment horizontal="left" vertical="center" textRotation="0" wrapText="false" indent="0" shrinkToFit="false"/>
      <protection locked="true" hidden="false"/>
    </xf>
    <xf numFmtId="164" fontId="34" fillId="0" borderId="19" xfId="22" applyFont="true" applyBorder="true" applyAlignment="true" applyProtection="true">
      <alignment horizontal="general" vertical="center" textRotation="0" wrapText="true" indent="0" shrinkToFit="false"/>
      <protection locked="true" hidden="false"/>
    </xf>
    <xf numFmtId="164" fontId="34" fillId="0" borderId="17" xfId="22" applyFont="true" applyBorder="true" applyAlignment="true" applyProtection="true">
      <alignment horizontal="general" vertical="center" textRotation="0" wrapText="true" indent="0" shrinkToFit="false"/>
      <protection locked="true" hidden="false"/>
    </xf>
    <xf numFmtId="164" fontId="34" fillId="0" borderId="0" xfId="22" applyFont="true" applyBorder="true" applyAlignment="true" applyProtection="true">
      <alignment horizontal="general" vertical="center" textRotation="0" wrapText="true" indent="0" shrinkToFit="false"/>
      <protection locked="true" hidden="false"/>
    </xf>
    <xf numFmtId="164" fontId="6" fillId="0" borderId="0" xfId="22" applyFont="true" applyBorder="true" applyAlignment="true" applyProtection="true">
      <alignment horizontal="left" vertical="center" textRotation="0" wrapText="false" indent="0" shrinkToFit="false"/>
      <protection locked="true" hidden="false"/>
    </xf>
    <xf numFmtId="164" fontId="6" fillId="0" borderId="0" xfId="22" applyFont="true" applyBorder="true" applyAlignment="true" applyProtection="true">
      <alignment horizontal="general" vertical="center" textRotation="0" wrapText="true" indent="0" shrinkToFit="false"/>
      <protection locked="true" hidden="false"/>
    </xf>
    <xf numFmtId="164" fontId="34" fillId="3" borderId="22" xfId="22" applyFont="true" applyBorder="true" applyAlignment="true" applyProtection="true">
      <alignment horizontal="general" vertical="center" textRotation="0" wrapText="false" indent="0" shrinkToFit="false"/>
      <protection locked="true" hidden="false"/>
    </xf>
    <xf numFmtId="164" fontId="34" fillId="3" borderId="2" xfId="22" applyFont="true" applyBorder="true" applyAlignment="true" applyProtection="true">
      <alignment horizontal="general" vertical="center" textRotation="0" wrapText="true" indent="0" shrinkToFit="false"/>
      <protection locked="true" hidden="false"/>
    </xf>
    <xf numFmtId="164" fontId="6" fillId="0" borderId="1" xfId="22" applyFont="true" applyBorder="true" applyAlignment="true" applyProtection="true">
      <alignment horizontal="left" vertical="center" textRotation="0" wrapText="false" indent="0" shrinkToFit="false"/>
      <protection locked="true" hidden="false"/>
    </xf>
    <xf numFmtId="164" fontId="6" fillId="0" borderId="3" xfId="22" applyFont="true" applyBorder="true" applyAlignment="true" applyProtection="true">
      <alignment horizontal="left" vertical="center" textRotation="0" wrapText="false" indent="0" shrinkToFit="false"/>
      <protection locked="true" hidden="false"/>
    </xf>
    <xf numFmtId="164" fontId="34" fillId="0" borderId="2" xfId="22" applyFont="true" applyBorder="true" applyAlignment="true" applyProtection="true">
      <alignment horizontal="general" vertical="center" textRotation="0" wrapText="true" indent="0" shrinkToFit="false"/>
      <protection locked="true" hidden="false"/>
    </xf>
    <xf numFmtId="164" fontId="23" fillId="0" borderId="17" xfId="22" applyFont="true" applyBorder="true" applyAlignment="true" applyProtection="true">
      <alignment horizontal="general" vertical="center" textRotation="0" wrapText="false" indent="0" shrinkToFit="true"/>
      <protection locked="true" hidden="false"/>
    </xf>
    <xf numFmtId="164" fontId="34" fillId="3" borderId="23" xfId="22" applyFont="true" applyBorder="true" applyAlignment="true" applyProtection="true">
      <alignment horizontal="general" vertical="center" textRotation="0" wrapText="false" indent="0" shrinkToFit="false"/>
      <protection locked="true" hidden="false"/>
    </xf>
    <xf numFmtId="164" fontId="34" fillId="3" borderId="24" xfId="22" applyFont="true" applyBorder="true" applyAlignment="true" applyProtection="true">
      <alignment horizontal="general" vertical="center" textRotation="0" wrapText="true" indent="0" shrinkToFit="false"/>
      <protection locked="true" hidden="false"/>
    </xf>
    <xf numFmtId="165" fontId="13" fillId="4" borderId="25" xfId="0" applyFont="true" applyBorder="true" applyAlignment="true" applyProtection="true">
      <alignment horizontal="left" vertical="center" textRotation="0" wrapText="false" indent="0" shrinkToFit="false"/>
      <protection locked="true" hidden="false"/>
    </xf>
    <xf numFmtId="164" fontId="6" fillId="0" borderId="26" xfId="22" applyFont="true" applyBorder="true" applyAlignment="true" applyProtection="true">
      <alignment horizontal="left" vertical="center" textRotation="0" wrapText="false" indent="0" shrinkToFit="false"/>
      <protection locked="true" hidden="false"/>
    </xf>
    <xf numFmtId="164" fontId="34" fillId="0" borderId="24" xfId="22" applyFont="true" applyBorder="true" applyAlignment="true" applyProtection="true">
      <alignment horizontal="general" vertical="center" textRotation="0" wrapText="true" indent="0" shrinkToFit="false"/>
      <protection locked="true" hidden="false"/>
    </xf>
    <xf numFmtId="164" fontId="6" fillId="0" borderId="27" xfId="22" applyFont="true" applyBorder="true" applyAlignment="true" applyProtection="true">
      <alignment horizontal="left" vertical="center" textRotation="0" wrapText="true" indent="0" shrinkToFit="false"/>
      <protection locked="true" hidden="false"/>
    </xf>
    <xf numFmtId="164" fontId="6" fillId="0" borderId="0" xfId="22" applyFont="true" applyBorder="true" applyAlignment="true" applyProtection="true">
      <alignment horizontal="left" vertical="center" textRotation="0" wrapText="true" indent="0" shrinkToFit="false"/>
      <protection locked="true" hidden="false"/>
    </xf>
    <xf numFmtId="164" fontId="35" fillId="0" borderId="0" xfId="22" applyFont="true" applyBorder="true" applyAlignment="true" applyProtection="true">
      <alignment horizontal="center" vertical="center" textRotation="0" wrapText="true" indent="0" shrinkToFit="false"/>
      <protection locked="true" hidden="false"/>
    </xf>
    <xf numFmtId="164" fontId="35" fillId="0" borderId="0" xfId="22" applyFont="true" applyBorder="true" applyAlignment="true" applyProtection="true">
      <alignment horizontal="general" vertical="center" textRotation="0" wrapText="true" indent="0" shrinkToFit="false"/>
      <protection locked="true" hidden="false"/>
    </xf>
    <xf numFmtId="164" fontId="5" fillId="0" borderId="0" xfId="22" applyFont="true" applyBorder="true" applyAlignment="true" applyProtection="true">
      <alignment horizontal="general" vertical="center" textRotation="0" wrapText="true" indent="0" shrinkToFit="false"/>
      <protection locked="true" hidden="false"/>
    </xf>
    <xf numFmtId="164" fontId="30" fillId="0" borderId="0" xfId="22" applyFont="true" applyBorder="true" applyAlignment="true" applyProtection="true">
      <alignment horizontal="general" vertical="top" textRotation="0" wrapText="true" indent="0" shrinkToFit="false"/>
      <protection locked="true" hidden="false"/>
    </xf>
    <xf numFmtId="164" fontId="34" fillId="3" borderId="13" xfId="22" applyFont="true" applyBorder="true" applyAlignment="true" applyProtection="true">
      <alignment horizontal="center" vertical="center" textRotation="0" wrapText="true" indent="0" shrinkToFit="false"/>
      <protection locked="true" hidden="false"/>
    </xf>
    <xf numFmtId="164" fontId="34" fillId="3" borderId="28" xfId="22" applyFont="true" applyBorder="true" applyAlignment="true" applyProtection="true">
      <alignment horizontal="center" vertical="center" textRotation="0" wrapText="true" indent="0" shrinkToFit="false"/>
      <protection locked="true" hidden="false"/>
    </xf>
    <xf numFmtId="164" fontId="34" fillId="3" borderId="29" xfId="22" applyFont="true" applyBorder="true" applyAlignment="true" applyProtection="true">
      <alignment horizontal="center" vertical="center" textRotation="0" wrapText="true" indent="0" shrinkToFit="false"/>
      <protection locked="true" hidden="false"/>
    </xf>
    <xf numFmtId="164" fontId="34" fillId="3" borderId="30" xfId="22" applyFont="true" applyBorder="true" applyAlignment="true" applyProtection="true">
      <alignment horizontal="center" vertical="center" textRotation="0" wrapText="true" indent="0" shrinkToFit="false"/>
      <protection locked="true" hidden="false"/>
    </xf>
    <xf numFmtId="164" fontId="34" fillId="3" borderId="31" xfId="22" applyFont="true" applyBorder="true" applyAlignment="true" applyProtection="true">
      <alignment horizontal="center" vertical="center" textRotation="0" wrapText="true" indent="0" shrinkToFit="false"/>
      <protection locked="true" hidden="false"/>
    </xf>
    <xf numFmtId="164" fontId="34" fillId="3" borderId="32" xfId="22" applyFont="true" applyBorder="true" applyAlignment="true" applyProtection="true">
      <alignment horizontal="center" vertical="center" textRotation="0" wrapText="true" indent="0" shrinkToFit="false"/>
      <protection locked="true" hidden="false"/>
    </xf>
    <xf numFmtId="164" fontId="34" fillId="3" borderId="33" xfId="22" applyFont="true" applyBorder="true" applyAlignment="true" applyProtection="true">
      <alignment horizontal="center" vertical="center" textRotation="0" wrapText="true" indent="0" shrinkToFit="false"/>
      <protection locked="true" hidden="false"/>
    </xf>
    <xf numFmtId="164" fontId="6" fillId="0" borderId="34" xfId="22" applyFont="true" applyBorder="true" applyAlignment="true" applyProtection="true">
      <alignment horizontal="general" vertical="center" textRotation="0" wrapText="false" indent="0" shrinkToFit="false"/>
      <protection locked="true" hidden="false"/>
    </xf>
    <xf numFmtId="164" fontId="6" fillId="0" borderId="8" xfId="22" applyFont="true" applyBorder="true" applyAlignment="true" applyProtection="true">
      <alignment horizontal="general" vertical="center" textRotation="0" wrapText="false" indent="0" shrinkToFit="false"/>
      <protection locked="true" hidden="false"/>
    </xf>
    <xf numFmtId="167" fontId="6" fillId="0" borderId="4" xfId="22" applyFont="true" applyBorder="true" applyAlignment="true" applyProtection="true">
      <alignment horizontal="center" vertical="center" textRotation="0" wrapText="true" indent="0" shrinkToFit="false"/>
      <protection locked="true" hidden="false"/>
    </xf>
    <xf numFmtId="167" fontId="6" fillId="0" borderId="10" xfId="22" applyFont="true" applyBorder="true" applyAlignment="true" applyProtection="true">
      <alignment horizontal="center" vertical="center" textRotation="0" wrapText="true" indent="0" shrinkToFit="false"/>
      <protection locked="true" hidden="false"/>
    </xf>
    <xf numFmtId="168" fontId="6" fillId="4" borderId="4" xfId="22" applyFont="true" applyBorder="true" applyAlignment="true" applyProtection="true">
      <alignment horizontal="center" vertical="center" textRotation="0" wrapText="true" indent="0" shrinkToFit="false"/>
      <protection locked="true" hidden="false"/>
    </xf>
    <xf numFmtId="169" fontId="17" fillId="0" borderId="35" xfId="20" applyFont="true" applyBorder="true" applyAlignment="true" applyProtection="true">
      <alignment horizontal="left" vertical="center" textRotation="0" wrapText="false" indent="0" shrinkToFit="false"/>
      <protection locked="true" hidden="false"/>
    </xf>
    <xf numFmtId="164" fontId="5" fillId="0" borderId="35" xfId="22" applyFont="true" applyBorder="true" applyAlignment="true" applyProtection="true">
      <alignment horizontal="general" vertical="center" textRotation="0" wrapText="true" indent="0" shrinkToFit="false"/>
      <protection locked="true" hidden="false"/>
    </xf>
    <xf numFmtId="164" fontId="5" fillId="0" borderId="36" xfId="22" applyFont="true" applyBorder="true" applyAlignment="true" applyProtection="true">
      <alignment horizontal="general" vertical="center" textRotation="0" wrapText="true" indent="0" shrinkToFit="false"/>
      <protection locked="true" hidden="false"/>
    </xf>
    <xf numFmtId="164" fontId="5" fillId="0" borderId="37" xfId="22" applyFont="true" applyBorder="true" applyAlignment="true" applyProtection="true">
      <alignment horizontal="general" vertical="center" textRotation="0" wrapText="true" indent="0" shrinkToFit="false"/>
      <protection locked="true" hidden="false"/>
    </xf>
    <xf numFmtId="168" fontId="6" fillId="4" borderId="5" xfId="22" applyFont="true" applyBorder="true" applyAlignment="true" applyProtection="true">
      <alignment horizontal="center" vertical="center" textRotation="0" wrapText="true" indent="0" shrinkToFit="false"/>
      <protection locked="true" hidden="false"/>
    </xf>
    <xf numFmtId="169" fontId="17" fillId="0" borderId="3" xfId="20" applyFont="true" applyBorder="true" applyAlignment="true" applyProtection="true">
      <alignment horizontal="left" vertical="center" textRotation="0" wrapText="false" indent="0" shrinkToFit="false"/>
      <protection locked="true" hidden="false"/>
    </xf>
    <xf numFmtId="164" fontId="5" fillId="0" borderId="3" xfId="22" applyFont="true" applyBorder="true" applyAlignment="true" applyProtection="true">
      <alignment horizontal="general" vertical="center" textRotation="0" wrapText="true" indent="0" shrinkToFit="false"/>
      <protection locked="true" hidden="false"/>
    </xf>
    <xf numFmtId="164" fontId="5" fillId="0" borderId="38" xfId="22" applyFont="true" applyBorder="true" applyAlignment="true" applyProtection="true">
      <alignment horizontal="general" vertical="center" textRotation="0" wrapText="true" indent="0" shrinkToFit="false"/>
      <protection locked="true" hidden="false"/>
    </xf>
    <xf numFmtId="167" fontId="6" fillId="0" borderId="5" xfId="22" applyFont="true" applyBorder="true" applyAlignment="true" applyProtection="true">
      <alignment horizontal="center" vertical="center" textRotation="0" wrapText="true" indent="0" shrinkToFit="false"/>
      <protection locked="true" hidden="false"/>
    </xf>
    <xf numFmtId="164" fontId="6" fillId="0" borderId="39" xfId="22" applyFont="true" applyBorder="true" applyAlignment="true" applyProtection="true">
      <alignment horizontal="general" vertical="center" textRotation="0" wrapText="false" indent="0" shrinkToFit="false"/>
      <protection locked="true" hidden="false"/>
    </xf>
    <xf numFmtId="164" fontId="6" fillId="0" borderId="7" xfId="22" applyFont="true" applyBorder="true" applyAlignment="true" applyProtection="true">
      <alignment horizontal="general" vertical="center" textRotation="0" wrapText="false" indent="0" shrinkToFit="false"/>
      <protection locked="true" hidden="false"/>
    </xf>
    <xf numFmtId="167" fontId="6" fillId="0" borderId="40" xfId="22" applyFont="true" applyBorder="true" applyAlignment="true" applyProtection="true">
      <alignment horizontal="center" vertical="center" textRotation="0" wrapText="true" indent="0" shrinkToFit="false"/>
      <protection locked="true" hidden="false"/>
    </xf>
    <xf numFmtId="168" fontId="6" fillId="4" borderId="14" xfId="22" applyFont="true" applyBorder="true" applyAlignment="true" applyProtection="true">
      <alignment horizontal="center" vertical="center" textRotation="0" wrapText="true" indent="0" shrinkToFit="false"/>
      <protection locked="true" hidden="false"/>
    </xf>
    <xf numFmtId="169" fontId="17" fillId="0" borderId="41" xfId="20" applyFont="true" applyBorder="true" applyAlignment="true" applyProtection="true">
      <alignment horizontal="left" vertical="center" textRotation="0" wrapText="false" indent="0" shrinkToFit="false"/>
      <protection locked="true" hidden="false"/>
    </xf>
    <xf numFmtId="164" fontId="5" fillId="0" borderId="41" xfId="22" applyFont="true" applyBorder="true" applyAlignment="true" applyProtection="true">
      <alignment horizontal="general" vertical="center" textRotation="0" wrapText="true" indent="0" shrinkToFit="false"/>
      <protection locked="true" hidden="false"/>
    </xf>
    <xf numFmtId="164" fontId="5" fillId="0" borderId="42" xfId="22" applyFont="true" applyBorder="true" applyAlignment="true" applyProtection="true">
      <alignment horizontal="general" vertical="center" textRotation="0" wrapText="true" indent="0" shrinkToFit="false"/>
      <protection locked="true" hidden="false"/>
    </xf>
    <xf numFmtId="167" fontId="34" fillId="3" borderId="29" xfId="22" applyFont="true" applyBorder="true" applyAlignment="true" applyProtection="true">
      <alignment horizontal="center" vertical="center" textRotation="0" wrapText="true" indent="0" shrinkToFit="false"/>
      <protection locked="true" hidden="false"/>
    </xf>
    <xf numFmtId="168" fontId="34" fillId="3" borderId="43" xfId="22" applyFont="true" applyBorder="true" applyAlignment="true" applyProtection="true">
      <alignment horizontal="center" vertical="center" textRotation="0" wrapText="true" indent="0" shrinkToFit="false"/>
      <protection locked="true" hidden="false"/>
    </xf>
    <xf numFmtId="168" fontId="34" fillId="3" borderId="31" xfId="22" applyFont="true" applyBorder="true" applyAlignment="true" applyProtection="true">
      <alignment horizontal="center" vertical="center" textRotation="0" wrapText="true" indent="0" shrinkToFit="false"/>
      <protection locked="true" hidden="false"/>
    </xf>
    <xf numFmtId="168" fontId="34" fillId="3" borderId="32" xfId="22" applyFont="true" applyBorder="true" applyAlignment="true" applyProtection="true">
      <alignment horizontal="center" vertical="center" textRotation="0" wrapText="true" indent="0" shrinkToFit="false"/>
      <protection locked="true" hidden="false"/>
    </xf>
    <xf numFmtId="168" fontId="34" fillId="3" borderId="33" xfId="22" applyFont="true" applyBorder="true" applyAlignment="true" applyProtection="true">
      <alignment horizontal="center" vertical="center" textRotation="0" wrapText="true" indent="0" shrinkToFit="false"/>
      <protection locked="true" hidden="false"/>
    </xf>
    <xf numFmtId="164" fontId="32" fillId="7" borderId="0" xfId="0" applyFont="true" applyBorder="true" applyAlignment="true" applyProtection="true">
      <alignment horizontal="general" vertical="center" textRotation="0" wrapText="false" indent="0" shrinkToFit="false"/>
      <protection locked="true" hidden="false"/>
    </xf>
    <xf numFmtId="164" fontId="32" fillId="7" borderId="0" xfId="0" applyFont="true" applyBorder="true" applyAlignment="true" applyProtection="true">
      <alignment horizontal="center" vertical="center" textRotation="0" wrapText="false" indent="0" shrinkToFit="false"/>
      <protection locked="true" hidden="false"/>
    </xf>
    <xf numFmtId="164" fontId="33" fillId="3" borderId="0" xfId="0" applyFont="true" applyBorder="true" applyAlignment="true" applyProtection="true">
      <alignment horizontal="general" vertical="center" textRotation="0" wrapText="false" indent="0" shrinkToFit="false"/>
      <protection locked="true" hidden="false"/>
    </xf>
    <xf numFmtId="164" fontId="33" fillId="3" borderId="0" xfId="0" applyFont="true" applyBorder="true" applyAlignment="true" applyProtection="true">
      <alignment horizontal="center" vertical="center" textRotation="0" wrapText="false" indent="0" shrinkToFit="false"/>
      <protection locked="true" hidden="false"/>
    </xf>
    <xf numFmtId="164" fontId="36" fillId="0" borderId="0" xfId="0" applyFont="true" applyBorder="true" applyAlignment="true" applyProtection="true">
      <alignment horizontal="center" vertical="center" textRotation="0" wrapText="true" indent="0" shrinkToFit="false"/>
      <protection locked="true" hidden="false"/>
    </xf>
    <xf numFmtId="164" fontId="34" fillId="0" borderId="0" xfId="0" applyFont="true" applyBorder="true" applyAlignment="true" applyProtection="true">
      <alignment horizontal="general" vertical="center" textRotation="0" wrapText="false" indent="0" shrinkToFit="false"/>
      <protection locked="true" hidden="false"/>
    </xf>
    <xf numFmtId="164" fontId="34" fillId="0" borderId="0" xfId="0" applyFont="true" applyBorder="true" applyAlignment="true" applyProtection="true">
      <alignment horizontal="center" vertical="center" textRotation="0" wrapText="false" indent="0" shrinkToFit="false"/>
      <protection locked="true" hidden="false"/>
    </xf>
    <xf numFmtId="164" fontId="21" fillId="7" borderId="31" xfId="0" applyFont="true" applyBorder="true" applyAlignment="true" applyProtection="true">
      <alignment horizontal="center" vertical="center" textRotation="0" wrapText="true" indent="0" shrinkToFit="false"/>
      <protection locked="true" hidden="false"/>
    </xf>
    <xf numFmtId="164" fontId="11" fillId="9" borderId="44" xfId="0" applyFont="true" applyBorder="true" applyAlignment="true" applyProtection="true">
      <alignment horizontal="general" vertical="center" textRotation="0" wrapText="false" indent="0" shrinkToFit="false"/>
      <protection locked="true" hidden="false"/>
    </xf>
    <xf numFmtId="164" fontId="11" fillId="9" borderId="27" xfId="0" applyFont="true" applyBorder="true" applyAlignment="true" applyProtection="true">
      <alignment horizontal="general" vertical="center" textRotation="0" wrapText="false" indent="0" shrinkToFit="false"/>
      <protection locked="true" hidden="false"/>
    </xf>
    <xf numFmtId="164" fontId="36" fillId="0" borderId="31" xfId="0" applyFont="true" applyBorder="true" applyAlignment="true" applyProtection="true">
      <alignment horizontal="center" vertical="center" textRotation="0" wrapText="true" indent="0" shrinkToFit="false"/>
      <protection locked="true" hidden="false"/>
    </xf>
    <xf numFmtId="164" fontId="36" fillId="0" borderId="29" xfId="0" applyFont="true" applyBorder="true" applyAlignment="true" applyProtection="true">
      <alignment horizontal="center" vertical="center" textRotation="0" wrapText="true" indent="0" shrinkToFit="false"/>
      <protection locked="true" hidden="false"/>
    </xf>
    <xf numFmtId="164" fontId="36" fillId="0" borderId="43" xfId="0" applyFont="true" applyBorder="true" applyAlignment="true" applyProtection="true">
      <alignment horizontal="center" vertical="center" textRotation="0" wrapText="true" indent="0" shrinkToFit="false"/>
      <protection locked="true" hidden="false"/>
    </xf>
    <xf numFmtId="164" fontId="36" fillId="0" borderId="32" xfId="0" applyFont="true" applyBorder="true" applyAlignment="true" applyProtection="true">
      <alignment horizontal="center" vertical="center" textRotation="0" wrapText="true" indent="0" shrinkToFit="false"/>
      <protection locked="true" hidden="false"/>
    </xf>
    <xf numFmtId="164" fontId="37" fillId="8" borderId="31" xfId="0" applyFont="true" applyBorder="true" applyAlignment="true" applyProtection="true">
      <alignment horizontal="center" vertical="center" textRotation="0" wrapText="true" indent="0" shrinkToFit="false"/>
      <protection locked="true" hidden="false"/>
    </xf>
    <xf numFmtId="164" fontId="36" fillId="0" borderId="16" xfId="0" applyFont="true" applyBorder="true" applyAlignment="true" applyProtection="true">
      <alignment horizontal="center" vertical="center" textRotation="0" wrapText="true" indent="0" shrinkToFit="false"/>
      <protection locked="true" hidden="false"/>
    </xf>
    <xf numFmtId="164" fontId="36" fillId="0" borderId="5" xfId="0" applyFont="true" applyBorder="true" applyAlignment="true" applyProtection="true">
      <alignment horizontal="center" vertical="center" textRotation="0" wrapText="true" indent="0" shrinkToFit="false"/>
      <protection locked="true" hidden="false"/>
    </xf>
    <xf numFmtId="164" fontId="38" fillId="0" borderId="5" xfId="0" applyFont="true" applyBorder="true" applyAlignment="true" applyProtection="true">
      <alignment horizontal="center" vertical="center" textRotation="0" wrapText="true" indent="0" shrinkToFit="false"/>
      <protection locked="true" hidden="false"/>
    </xf>
    <xf numFmtId="164" fontId="36" fillId="0" borderId="45" xfId="0" applyFont="true" applyBorder="true" applyAlignment="true" applyProtection="true">
      <alignment horizontal="center" vertical="center" textRotation="0" wrapText="true" indent="0" shrinkToFit="false"/>
      <protection locked="true" hidden="false"/>
    </xf>
    <xf numFmtId="164" fontId="15" fillId="5" borderId="4" xfId="0" applyFont="true" applyBorder="true" applyAlignment="true" applyProtection="true">
      <alignment horizontal="left" vertical="center" textRotation="0" wrapText="false" indent="0" shrinkToFit="false"/>
      <protection locked="true" hidden="false"/>
    </xf>
    <xf numFmtId="164" fontId="39" fillId="5" borderId="4" xfId="2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general" vertical="center" textRotation="0" wrapText="true" indent="0" shrinkToFit="false"/>
      <protection locked="true" hidden="false"/>
    </xf>
    <xf numFmtId="164" fontId="35" fillId="0" borderId="3" xfId="0" applyFont="true" applyBorder="true" applyAlignment="true" applyProtection="true">
      <alignment horizontal="left" vertical="center" textRotation="0" wrapText="false" indent="0" shrinkToFit="false"/>
      <protection locked="true" hidden="false"/>
    </xf>
    <xf numFmtId="164" fontId="5" fillId="8" borderId="22" xfId="0" applyFont="true" applyBorder="true" applyAlignment="true" applyProtection="true">
      <alignment horizontal="general" vertical="center" textRotation="0" wrapText="true" indent="0" shrinkToFit="false"/>
      <protection locked="true" hidden="false"/>
    </xf>
    <xf numFmtId="164" fontId="5" fillId="0" borderId="16" xfId="0" applyFont="true" applyBorder="true" applyAlignment="true" applyProtection="true">
      <alignment horizontal="center" vertical="center" textRotation="0" wrapText="true" indent="0" shrinkToFit="false"/>
      <protection locked="true" hidden="false"/>
    </xf>
    <xf numFmtId="164" fontId="5" fillId="10" borderId="5" xfId="0" applyFont="true" applyBorder="true" applyAlignment="true" applyProtection="true">
      <alignment horizontal="center" vertical="center" textRotation="0" wrapText="true" indent="0" shrinkToFit="false"/>
      <protection locked="true" hidden="false"/>
    </xf>
    <xf numFmtId="164" fontId="5" fillId="0" borderId="5" xfId="0" applyFont="true" applyBorder="true" applyAlignment="true" applyProtection="true">
      <alignment horizontal="center" vertical="center" textRotation="0" wrapText="true" indent="0" shrinkToFit="false"/>
      <protection locked="true" hidden="false"/>
    </xf>
    <xf numFmtId="164" fontId="5" fillId="0" borderId="45" xfId="0" applyFont="true" applyBorder="true" applyAlignment="true" applyProtection="true">
      <alignment horizontal="center" vertical="center" textRotation="0" wrapText="true" indent="0" shrinkToFit="false"/>
      <protection locked="true" hidden="false"/>
    </xf>
    <xf numFmtId="164" fontId="40" fillId="5" borderId="4" xfId="0" applyFont="true" applyBorder="true" applyAlignment="true" applyProtection="true">
      <alignment horizontal="center" vertical="center" textRotation="0" wrapText="false" indent="0" shrinkToFit="false"/>
      <protection locked="true" hidden="false"/>
    </xf>
    <xf numFmtId="164" fontId="41" fillId="0" borderId="2"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42" fillId="5" borderId="4" xfId="0" applyFont="true" applyBorder="true" applyAlignment="true" applyProtection="true">
      <alignment horizontal="left" vertical="center" textRotation="0" wrapText="false" indent="0" shrinkToFit="false"/>
      <protection locked="true" hidden="false"/>
    </xf>
    <xf numFmtId="164" fontId="14" fillId="5" borderId="40" xfId="0" applyFont="true" applyBorder="true" applyAlignment="true" applyProtection="true">
      <alignment horizontal="center" vertical="center" textRotation="0" wrapText="false" indent="0" shrinkToFit="false"/>
      <protection locked="true" hidden="false"/>
    </xf>
    <xf numFmtId="164" fontId="41" fillId="0" borderId="5" xfId="0" applyFont="true" applyBorder="true" applyAlignment="true" applyProtection="true">
      <alignment horizontal="left" vertical="center" textRotation="0" wrapText="true" indent="0" shrinkToFit="false"/>
      <protection locked="true" hidden="false"/>
    </xf>
    <xf numFmtId="164" fontId="5" fillId="8" borderId="46" xfId="0" applyFont="true" applyBorder="true" applyAlignment="true" applyProtection="true">
      <alignment horizontal="general" vertical="center" textRotation="0" wrapText="true" indent="0" shrinkToFit="false"/>
      <protection locked="true" hidden="false"/>
    </xf>
    <xf numFmtId="164" fontId="5" fillId="0" borderId="47" xfId="0" applyFont="true" applyBorder="true" applyAlignment="true" applyProtection="true">
      <alignment horizontal="center" vertical="center" textRotation="0" wrapText="true" indent="0" shrinkToFit="false"/>
      <protection locked="true" hidden="false"/>
    </xf>
    <xf numFmtId="164" fontId="5" fillId="8" borderId="11" xfId="0" applyFont="true" applyBorder="true" applyAlignment="true" applyProtection="true">
      <alignment horizontal="general" vertical="center" textRotation="0" wrapText="true" indent="0" shrinkToFit="false"/>
      <protection locked="true" hidden="false"/>
    </xf>
    <xf numFmtId="164" fontId="5" fillId="8" borderId="48" xfId="0" applyFont="true" applyBorder="true" applyAlignment="true" applyProtection="true">
      <alignment horizontal="general" vertical="center" textRotation="0" wrapText="true" indent="0" shrinkToFit="false"/>
      <protection locked="true" hidden="false"/>
    </xf>
    <xf numFmtId="164" fontId="5" fillId="0" borderId="49" xfId="0" applyFont="true" applyBorder="true" applyAlignment="true" applyProtection="true">
      <alignment horizontal="center" vertical="center" textRotation="0" wrapText="true" indent="0" shrinkToFit="false"/>
      <protection locked="true" hidden="false"/>
    </xf>
    <xf numFmtId="164" fontId="5" fillId="8" borderId="22" xfId="0" applyFont="true" applyBorder="true" applyAlignment="true" applyProtection="true">
      <alignment horizontal="general" vertical="top" textRotation="0" wrapText="true" indent="0" shrinkToFit="false"/>
      <protection locked="true" hidden="false"/>
    </xf>
    <xf numFmtId="164" fontId="5" fillId="0" borderId="50" xfId="0" applyFont="true" applyBorder="true" applyAlignment="true" applyProtection="true">
      <alignment horizontal="center" vertical="center" textRotation="0" wrapText="true" indent="0" shrinkToFit="false"/>
      <protection locked="true" hidden="false"/>
    </xf>
    <xf numFmtId="164" fontId="5" fillId="0" borderId="38" xfId="0" applyFont="true" applyBorder="true" applyAlignment="true" applyProtection="true">
      <alignment horizontal="general" vertical="center" textRotation="0" wrapText="true" indent="0" shrinkToFit="false"/>
      <protection locked="true" hidden="false"/>
    </xf>
    <xf numFmtId="164" fontId="41" fillId="0" borderId="1" xfId="0" applyFont="true" applyBorder="true" applyAlignment="true" applyProtection="true">
      <alignment horizontal="left" vertical="center" textRotation="0" wrapText="true" indent="0" shrinkToFit="false"/>
      <protection locked="true" hidden="false"/>
    </xf>
    <xf numFmtId="164" fontId="17" fillId="5" borderId="4" xfId="20" applyFont="true" applyBorder="true" applyAlignment="true" applyProtection="true">
      <alignment horizontal="center" vertical="center" textRotation="0" wrapText="false" indent="0" shrinkToFit="false"/>
      <protection locked="true" hidden="false"/>
    </xf>
    <xf numFmtId="164" fontId="43" fillId="5" borderId="4" xfId="20" applyFont="true" applyBorder="true" applyAlignment="true" applyProtection="true">
      <alignment horizontal="left" vertical="center" textRotation="0" wrapText="false" indent="0" shrinkToFit="false"/>
      <protection locked="true" hidden="false"/>
    </xf>
    <xf numFmtId="164" fontId="5" fillId="0" borderId="0" xfId="22" applyFont="true" applyBorder="true" applyAlignment="true" applyProtection="true">
      <alignment horizontal="general" vertical="top" textRotation="0" wrapText="false" indent="0" shrinkToFit="true"/>
      <protection locked="true" hidden="false"/>
    </xf>
    <xf numFmtId="164" fontId="38" fillId="7" borderId="0" xfId="22" applyFont="true" applyBorder="true" applyAlignment="true" applyProtection="true">
      <alignment horizontal="center" vertical="center" textRotation="0" wrapText="true" indent="0" shrinkToFit="false"/>
      <protection locked="true" hidden="false"/>
    </xf>
    <xf numFmtId="164" fontId="12" fillId="6" borderId="0" xfId="22" applyFont="true" applyBorder="true" applyAlignment="true" applyProtection="true">
      <alignment horizontal="general" vertical="center" textRotation="0" wrapText="false" indent="0" shrinkToFit="false"/>
      <protection locked="true" hidden="false"/>
    </xf>
    <xf numFmtId="164" fontId="16" fillId="6" borderId="0" xfId="22" applyFont="true" applyBorder="true" applyAlignment="true" applyProtection="true">
      <alignment horizontal="general" vertical="center" textRotation="0" wrapText="false" indent="0" shrinkToFit="false"/>
      <protection locked="true" hidden="false"/>
    </xf>
    <xf numFmtId="164" fontId="12" fillId="6" borderId="0" xfId="22" applyFont="true" applyBorder="true" applyAlignment="true" applyProtection="true">
      <alignment horizontal="left" vertical="center" textRotation="0" wrapText="true" indent="0" shrinkToFit="false"/>
      <protection locked="true" hidden="false"/>
    </xf>
    <xf numFmtId="164" fontId="36" fillId="0" borderId="0" xfId="22" applyFont="true" applyBorder="true" applyAlignment="true" applyProtection="true">
      <alignment horizontal="general" vertical="top" textRotation="0" wrapText="true" indent="0" shrinkToFit="false"/>
      <protection locked="true" hidden="false"/>
    </xf>
    <xf numFmtId="164" fontId="34" fillId="0" borderId="51" xfId="22" applyFont="true" applyBorder="true" applyAlignment="true" applyProtection="true">
      <alignment horizontal="general" vertical="center" textRotation="0" wrapText="true" indent="0" shrinkToFit="false"/>
      <protection locked="true" hidden="false"/>
    </xf>
    <xf numFmtId="164" fontId="34" fillId="0" borderId="38" xfId="22" applyFont="true" applyBorder="true" applyAlignment="true" applyProtection="true">
      <alignment horizontal="general" vertical="center" textRotation="0" wrapText="true" indent="0" shrinkToFit="false"/>
      <protection locked="true" hidden="false"/>
    </xf>
    <xf numFmtId="164" fontId="23" fillId="0" borderId="0" xfId="22" applyFont="true" applyBorder="true" applyAlignment="true" applyProtection="true">
      <alignment horizontal="general" vertical="center" textRotation="0" wrapText="false" indent="0" shrinkToFit="true"/>
      <protection locked="true" hidden="false"/>
    </xf>
    <xf numFmtId="164" fontId="34" fillId="0" borderId="52" xfId="22" applyFont="true" applyBorder="true" applyAlignment="true" applyProtection="true">
      <alignment horizontal="general" vertical="center" textRotation="0" wrapText="true" indent="0" shrinkToFit="false"/>
      <protection locked="true" hidden="false"/>
    </xf>
    <xf numFmtId="164" fontId="30" fillId="0" borderId="0" xfId="22" applyFont="true" applyBorder="true" applyAlignment="true" applyProtection="true">
      <alignment horizontal="general" vertical="top" textRotation="0" wrapText="false" indent="0" shrinkToFit="true"/>
      <protection locked="true" hidden="false"/>
    </xf>
    <xf numFmtId="164" fontId="5" fillId="0" borderId="27" xfId="22" applyFont="true" applyBorder="true" applyAlignment="true" applyProtection="true">
      <alignment horizontal="general" vertical="top" textRotation="0" wrapText="true" indent="0" shrinkToFit="false"/>
      <protection locked="true" hidden="false"/>
    </xf>
    <xf numFmtId="164" fontId="34" fillId="3" borderId="43" xfId="22" applyFont="true" applyBorder="true" applyAlignment="true" applyProtection="true">
      <alignment horizontal="center" vertical="center" textRotation="0" wrapText="true" indent="0" shrinkToFit="false"/>
      <protection locked="true" hidden="false"/>
    </xf>
    <xf numFmtId="164" fontId="34" fillId="4" borderId="13" xfId="22" applyFont="true" applyBorder="true" applyAlignment="true" applyProtection="true">
      <alignment horizontal="left" vertical="center" textRotation="0" wrapText="true" indent="0" shrinkToFit="false"/>
      <protection locked="true" hidden="false"/>
    </xf>
    <xf numFmtId="164" fontId="34" fillId="4" borderId="28" xfId="22" applyFont="true" applyBorder="true" applyAlignment="true" applyProtection="true">
      <alignment horizontal="center" vertical="center" textRotation="0" wrapText="true" indent="0" shrinkToFit="false"/>
      <protection locked="true" hidden="false"/>
    </xf>
    <xf numFmtId="167" fontId="34" fillId="4" borderId="29" xfId="22" applyFont="true" applyBorder="true" applyAlignment="true" applyProtection="true">
      <alignment horizontal="center" vertical="center" textRotation="0" wrapText="true" indent="0" shrinkToFit="false"/>
      <protection locked="true" hidden="false"/>
    </xf>
    <xf numFmtId="168" fontId="34" fillId="4" borderId="43" xfId="22" applyFont="true" applyBorder="true" applyAlignment="true" applyProtection="true">
      <alignment horizontal="center" vertical="center" textRotation="0" wrapText="true" indent="0" shrinkToFit="false"/>
      <protection locked="true" hidden="false"/>
    </xf>
    <xf numFmtId="164" fontId="44" fillId="3" borderId="31" xfId="22" applyFont="true" applyBorder="true" applyAlignment="true" applyProtection="true">
      <alignment horizontal="general" vertical="center" textRotation="0" wrapText="false" indent="0" shrinkToFit="false"/>
      <protection locked="true" hidden="false"/>
    </xf>
    <xf numFmtId="164" fontId="34" fillId="3" borderId="32" xfId="22" applyFont="true" applyBorder="true" applyAlignment="true" applyProtection="true">
      <alignment horizontal="general" vertical="center" textRotation="0" wrapText="false" indent="0" shrinkToFit="false"/>
      <protection locked="true" hidden="false"/>
    </xf>
    <xf numFmtId="164" fontId="34" fillId="3" borderId="33" xfId="22" applyFont="true" applyBorder="true" applyAlignment="true" applyProtection="true">
      <alignment horizontal="general" vertical="center" textRotation="0" wrapText="false" indent="0" shrinkToFit="false"/>
      <protection locked="true" hidden="false"/>
    </xf>
    <xf numFmtId="164" fontId="5" fillId="5" borderId="12" xfId="22" applyFont="true" applyBorder="true" applyAlignment="true" applyProtection="true">
      <alignment horizontal="general" vertical="top" textRotation="0" wrapText="true" indent="0" shrinkToFit="false"/>
      <protection locked="true" hidden="false"/>
    </xf>
    <xf numFmtId="164" fontId="40" fillId="5" borderId="40" xfId="0" applyFont="true" applyBorder="true" applyAlignment="true" applyProtection="true">
      <alignment horizontal="center" vertical="center" textRotation="0" wrapText="false" indent="0" shrinkToFit="false"/>
      <protection locked="true" hidden="false"/>
    </xf>
    <xf numFmtId="164" fontId="45" fillId="7" borderId="39" xfId="0" applyFont="true" applyBorder="true" applyAlignment="true" applyProtection="true">
      <alignment horizontal="center" vertical="center" textRotation="0" wrapText="true" indent="0" shrinkToFit="false"/>
      <protection locked="true" hidden="false"/>
    </xf>
    <xf numFmtId="164" fontId="5" fillId="5" borderId="0" xfId="22" applyFont="true" applyBorder="true" applyAlignment="true" applyProtection="true">
      <alignment horizontal="general" vertical="top" textRotation="0" wrapText="true" indent="0" shrinkToFit="false"/>
      <protection locked="true" hidden="false"/>
    </xf>
    <xf numFmtId="164" fontId="0" fillId="0" borderId="5" xfId="0" applyFont="false" applyBorder="true" applyAlignment="true" applyProtection="true">
      <alignment horizontal="general" vertical="center" textRotation="0" wrapText="true" indent="0" shrinkToFit="false"/>
      <protection locked="true" hidden="false"/>
    </xf>
    <xf numFmtId="164" fontId="5" fillId="5" borderId="5" xfId="22" applyFont="true" applyBorder="true" applyAlignment="true" applyProtection="true">
      <alignment horizontal="general" vertical="center" textRotation="0" wrapText="true" indent="0" shrinkToFit="false"/>
      <protection locked="true" hidden="false"/>
    </xf>
    <xf numFmtId="164" fontId="46" fillId="0" borderId="0" xfId="22" applyFont="true" applyBorder="true" applyAlignment="true" applyProtection="true">
      <alignment horizontal="general" vertical="top" textRotation="0" wrapText="true" indent="0" shrinkToFit="false"/>
      <protection locked="true" hidden="false"/>
    </xf>
    <xf numFmtId="164" fontId="46" fillId="0" borderId="0" xfId="0" applyFont="true" applyBorder="true" applyAlignment="true" applyProtection="true">
      <alignment horizontal="general" vertical="top" textRotation="0" wrapText="true" indent="0" shrinkToFit="false"/>
      <protection locked="true" hidden="false"/>
    </xf>
    <xf numFmtId="164" fontId="11" fillId="9" borderId="53" xfId="0" applyFont="true" applyBorder="true" applyAlignment="true" applyProtection="true">
      <alignment horizontal="general" vertical="center" textRotation="0" wrapText="false" indent="0" shrinkToFit="false"/>
      <protection locked="true" hidden="false"/>
    </xf>
    <xf numFmtId="164" fontId="14" fillId="11" borderId="5" xfId="22" applyFont="true" applyBorder="true" applyAlignment="true" applyProtection="true">
      <alignment horizontal="general" vertical="center" textRotation="0" wrapText="false" indent="0" shrinkToFit="false"/>
      <protection locked="true" hidden="false"/>
    </xf>
    <xf numFmtId="164" fontId="14" fillId="11" borderId="2" xfId="0" applyFont="true" applyBorder="true" applyAlignment="true" applyProtection="true">
      <alignment horizontal="general" vertical="center" textRotation="0" wrapText="false" indent="0" shrinkToFit="false"/>
      <protection locked="true" hidden="false"/>
    </xf>
    <xf numFmtId="164" fontId="14" fillId="11" borderId="4" xfId="0" applyFont="true" applyBorder="true" applyAlignment="true" applyProtection="true">
      <alignment horizontal="center" vertical="center" textRotation="0" wrapText="false" indent="0" shrinkToFit="false"/>
      <protection locked="true" hidden="false"/>
    </xf>
    <xf numFmtId="164" fontId="39" fillId="11" borderId="4" xfId="20" applyFont="true" applyBorder="true" applyAlignment="true" applyProtection="true">
      <alignment horizontal="center" vertical="center" textRotation="0" wrapText="false" indent="0" shrinkToFit="false"/>
      <protection locked="true" hidden="false"/>
    </xf>
    <xf numFmtId="164" fontId="8" fillId="10" borderId="5" xfId="0" applyFont="true" applyBorder="true" applyAlignment="true" applyProtection="true">
      <alignment horizontal="center" vertical="center" textRotation="0" wrapText="true" indent="0" shrinkToFit="false"/>
      <protection locked="true" hidden="false"/>
    </xf>
    <xf numFmtId="164" fontId="6" fillId="0" borderId="0" xfId="22" applyFont="true" applyBorder="true" applyAlignment="true" applyProtection="true">
      <alignment horizontal="general" vertical="bottom" textRotation="0" wrapText="false" indent="0" shrinkToFit="false"/>
      <protection locked="true" hidden="false"/>
    </xf>
    <xf numFmtId="164" fontId="6" fillId="0" borderId="0" xfId="22" applyFont="true" applyBorder="true" applyAlignment="true" applyProtection="true">
      <alignment horizontal="center" vertical="center" textRotation="0" wrapText="false" indent="0" shrinkToFit="false"/>
      <protection locked="true" hidden="false"/>
    </xf>
    <xf numFmtId="164" fontId="6" fillId="0" borderId="0" xfId="22" applyFont="true" applyBorder="true" applyAlignment="true" applyProtection="true">
      <alignment horizontal="general" vertical="bottom" textRotation="0" wrapText="true" indent="0" shrinkToFit="false"/>
      <protection locked="true" hidden="false"/>
    </xf>
    <xf numFmtId="164" fontId="32" fillId="12" borderId="0" xfId="22" applyFont="true" applyBorder="true" applyAlignment="true" applyProtection="true">
      <alignment horizontal="general" vertical="center" textRotation="0" wrapText="false" indent="0" shrinkToFit="false"/>
      <protection locked="true" hidden="false"/>
    </xf>
    <xf numFmtId="164" fontId="6" fillId="12" borderId="0" xfId="0" applyFont="true" applyBorder="true" applyAlignment="true" applyProtection="true">
      <alignment horizontal="right" vertical="center" textRotation="0" wrapText="false" indent="0" shrinkToFit="false"/>
      <protection locked="true" hidden="false"/>
    </xf>
    <xf numFmtId="164" fontId="17" fillId="3" borderId="17" xfId="20" applyFont="true" applyBorder="true" applyAlignment="true" applyProtection="true">
      <alignment horizontal="general" vertical="center" textRotation="0" wrapText="false" indent="0" shrinkToFit="false"/>
      <protection locked="true" hidden="false"/>
    </xf>
    <xf numFmtId="164" fontId="33" fillId="3" borderId="0" xfId="22" applyFont="true" applyBorder="true" applyAlignment="true" applyProtection="true">
      <alignment horizontal="general" vertical="center" textRotation="0" wrapText="false" indent="0" shrinkToFit="false"/>
      <protection locked="true" hidden="false"/>
    </xf>
    <xf numFmtId="164" fontId="33" fillId="3" borderId="7" xfId="22" applyFont="true" applyBorder="true" applyAlignment="true" applyProtection="true">
      <alignment horizontal="general" vertical="center" textRotation="0" wrapText="false" indent="0" shrinkToFit="false"/>
      <protection locked="true" hidden="false"/>
    </xf>
    <xf numFmtId="164" fontId="17" fillId="3" borderId="0" xfId="20" applyFont="true" applyBorder="true" applyAlignment="true" applyProtection="true">
      <alignment horizontal="general" vertical="center" textRotation="0" wrapText="false" indent="0" shrinkToFit="false"/>
      <protection locked="true" hidden="false"/>
    </xf>
    <xf numFmtId="164" fontId="38" fillId="3" borderId="0" xfId="20" applyFont="true" applyBorder="true" applyAlignment="true" applyProtection="true">
      <alignment horizontal="general" vertical="center" textRotation="0" wrapText="false" indent="0" shrinkToFit="false"/>
      <protection locked="true" hidden="false"/>
    </xf>
    <xf numFmtId="164" fontId="33" fillId="3" borderId="8" xfId="22" applyFont="true" applyBorder="true" applyAlignment="true" applyProtection="true">
      <alignment horizontal="general" vertical="center" textRotation="0" wrapText="false" indent="0" shrinkToFit="false"/>
      <protection locked="true" hidden="false"/>
    </xf>
    <xf numFmtId="164" fontId="14" fillId="5" borderId="4" xfId="22" applyFont="true" applyBorder="true" applyAlignment="true" applyProtection="true">
      <alignment horizontal="general" vertical="center" textRotation="0" wrapText="false" indent="0" shrinkToFit="false"/>
      <protection locked="true" hidden="false"/>
    </xf>
    <xf numFmtId="164" fontId="14" fillId="5" borderId="5" xfId="22" applyFont="true" applyBorder="true" applyAlignment="true" applyProtection="true">
      <alignment horizontal="center" vertical="center" textRotation="0" wrapText="true" indent="0" shrinkToFit="false"/>
      <protection locked="true" hidden="false"/>
    </xf>
    <xf numFmtId="164" fontId="18" fillId="3" borderId="5" xfId="22" applyFont="true" applyBorder="true" applyAlignment="true" applyProtection="true">
      <alignment horizontal="general" vertical="center" textRotation="0" wrapText="true" indent="0" shrinkToFit="false"/>
      <protection locked="true" hidden="false"/>
    </xf>
    <xf numFmtId="164" fontId="48" fillId="6" borderId="5" xfId="22" applyFont="true" applyBorder="true" applyAlignment="true" applyProtection="true">
      <alignment horizontal="general" vertical="center" textRotation="0" wrapText="false" indent="0" shrinkToFit="false"/>
      <protection locked="true" hidden="false"/>
    </xf>
    <xf numFmtId="164" fontId="14" fillId="13" borderId="5" xfId="22" applyFont="true" applyBorder="true" applyAlignment="true" applyProtection="true">
      <alignment horizontal="general" vertical="center" textRotation="0" wrapText="false" indent="0" shrinkToFit="false"/>
      <protection locked="true" hidden="false"/>
    </xf>
    <xf numFmtId="164" fontId="14" fillId="13" borderId="5" xfId="22" applyFont="true" applyBorder="true" applyAlignment="true" applyProtection="true">
      <alignment horizontal="center" vertical="center" textRotation="0" wrapText="true" indent="0" shrinkToFit="false"/>
      <protection locked="true" hidden="false"/>
    </xf>
    <xf numFmtId="164" fontId="5" fillId="13" borderId="0" xfId="22" applyFont="true" applyBorder="true" applyAlignment="true" applyProtection="true">
      <alignment horizontal="general" vertical="top" textRotation="0" wrapText="true" indent="0" shrinkToFit="false"/>
      <protection locked="true" hidden="false"/>
    </xf>
    <xf numFmtId="164" fontId="5" fillId="0" borderId="0" xfId="22" applyFont="true" applyBorder="true" applyAlignment="true" applyProtection="true">
      <alignment horizontal="left" vertical="center" textRotation="0" wrapText="true" indent="0" shrinkToFit="false"/>
      <protection locked="true" hidden="false"/>
    </xf>
    <xf numFmtId="164" fontId="18" fillId="3" borderId="5" xfId="22" applyFont="true" applyBorder="true" applyAlignment="true" applyProtection="true">
      <alignment horizontal="general" vertical="center" textRotation="0" wrapText="false" indent="0" shrinkToFit="false"/>
      <protection locked="true" hidden="false"/>
    </xf>
    <xf numFmtId="164" fontId="4" fillId="0" borderId="5" xfId="21" applyFont="true" applyBorder="true" applyAlignment="true" applyProtection="false">
      <alignment horizontal="general" vertical="top" textRotation="0" wrapText="true" indent="0" shrinkToFit="false"/>
      <protection locked="true" hidden="false"/>
    </xf>
    <xf numFmtId="164" fontId="49" fillId="4" borderId="5" xfId="21" applyFont="true" applyBorder="true" applyAlignment="true" applyProtection="false">
      <alignment horizontal="general" vertical="top" textRotation="0" wrapText="false" indent="0" shrinkToFit="true"/>
      <protection locked="true" hidden="false"/>
    </xf>
    <xf numFmtId="164" fontId="50" fillId="0" borderId="5" xfId="21" applyFont="true" applyBorder="true" applyAlignment="true" applyProtection="false">
      <alignment horizontal="general" vertical="top" textRotation="0" wrapText="true" indent="0" shrinkToFit="false"/>
      <protection locked="true" hidden="false"/>
    </xf>
    <xf numFmtId="164" fontId="50" fillId="14" borderId="5" xfId="21" applyFont="true" applyBorder="true" applyAlignment="true" applyProtection="false">
      <alignment horizontal="general" vertical="top" textRotation="0" wrapText="true" indent="0" shrinkToFit="false"/>
      <protection locked="true" hidden="false"/>
    </xf>
    <xf numFmtId="164" fontId="50" fillId="15" borderId="5" xfId="21" applyFont="true" applyBorder="true" applyAlignment="true" applyProtection="false">
      <alignment horizontal="general" vertical="top" textRotation="0" wrapText="true" indent="0" shrinkToFit="false"/>
      <protection locked="true" hidden="false"/>
    </xf>
    <xf numFmtId="164" fontId="50" fillId="16" borderId="5" xfId="21" applyFont="true" applyBorder="true" applyAlignment="true" applyProtection="false">
      <alignment horizontal="general" vertical="top" textRotation="0" wrapText="true" indent="0" shrinkToFit="false"/>
      <protection locked="true" hidden="false"/>
    </xf>
    <xf numFmtId="164" fontId="50" fillId="17" borderId="5" xfId="21" applyFont="true" applyBorder="true" applyAlignment="true" applyProtection="false">
      <alignment horizontal="general" vertical="top" textRotation="0" wrapText="true" indent="0" shrinkToFit="false"/>
      <protection locked="true" hidden="false"/>
    </xf>
    <xf numFmtId="164" fontId="50" fillId="18" borderId="5" xfId="21" applyFont="true" applyBorder="true" applyAlignment="true" applyProtection="false">
      <alignment horizontal="general" vertical="top" textRotation="0" wrapText="true" indent="0" shrinkToFit="false"/>
      <protection locked="true" hidden="false"/>
    </xf>
    <xf numFmtId="164" fontId="51" fillId="0" borderId="5" xfId="21" applyFont="true" applyBorder="true" applyAlignment="true" applyProtection="false">
      <alignment horizontal="general" vertical="top" textRotation="0" wrapText="true" indent="0" shrinkToFit="false"/>
      <protection locked="true" hidden="false"/>
    </xf>
    <xf numFmtId="164" fontId="51" fillId="0" borderId="5" xfId="0" applyFont="true" applyBorder="true" applyAlignment="true" applyProtection="true">
      <alignment horizontal="general" vertical="top" textRotation="0" wrapText="true" indent="0" shrinkToFit="false"/>
      <protection locked="true" hidden="false"/>
    </xf>
    <xf numFmtId="164" fontId="52" fillId="0" borderId="5" xfId="21" applyFont="true" applyBorder="true" applyAlignment="true" applyProtection="false">
      <alignment horizontal="general" vertical="top" textRotation="0" wrapText="true" indent="0" shrinkToFit="false"/>
      <protection locked="true" hidden="false"/>
    </xf>
    <xf numFmtId="164" fontId="51" fillId="0" borderId="0" xfId="0" applyFont="true" applyBorder="true" applyAlignment="true" applyProtection="true">
      <alignment horizontal="general" vertical="top" textRotation="0" wrapText="true" indent="0" shrinkToFit="false"/>
      <protection locked="true" hidden="false"/>
    </xf>
    <xf numFmtId="164" fontId="51" fillId="0" borderId="5" xfId="0" applyFont="true" applyBorder="true" applyAlignment="true" applyProtection="true">
      <alignment horizontal="right" vertical="top" textRotation="0" wrapText="true" indent="0" shrinkToFit="false"/>
      <protection locked="true" hidden="false"/>
    </xf>
    <xf numFmtId="164" fontId="54" fillId="0" borderId="5" xfId="0" applyFont="true" applyBorder="true" applyAlignment="true" applyProtection="true">
      <alignment horizontal="general" vertical="top" textRotation="0" wrapText="true" indent="0" shrinkToFit="false"/>
      <protection locked="true" hidden="false"/>
    </xf>
    <xf numFmtId="164" fontId="51" fillId="0" borderId="5" xfId="0" applyFont="true" applyBorder="true" applyAlignment="true" applyProtection="true">
      <alignment horizontal="general" vertical="center" textRotation="0" wrapText="false" indent="0" shrinkToFit="false"/>
      <protection locked="true" hidden="false"/>
    </xf>
    <xf numFmtId="164" fontId="51" fillId="0" borderId="5" xfId="0" applyFont="true" applyBorder="true" applyAlignment="true" applyProtection="true">
      <alignment horizontal="general" vertical="bottom" textRotation="0" wrapText="true" indent="0" shrinkToFit="false"/>
      <protection locked="true" hidden="false"/>
    </xf>
    <xf numFmtId="164" fontId="54" fillId="0" borderId="5" xfId="0" applyFont="true" applyBorder="true" applyAlignment="true" applyProtection="true">
      <alignment horizontal="general" vertical="bottom" textRotation="0" wrapText="true" indent="0" shrinkToFit="false"/>
      <protection locked="true" hidden="false"/>
    </xf>
    <xf numFmtId="164" fontId="55" fillId="0" borderId="5" xfId="0" applyFont="true" applyBorder="true" applyAlignment="true" applyProtection="true">
      <alignment horizontal="general" vertical="bottom" textRotation="0" wrapText="true" indent="0" shrinkToFit="false"/>
      <protection locked="true" hidden="false"/>
    </xf>
    <xf numFmtId="164" fontId="4" fillId="0" borderId="0" xfId="21" applyFont="true" applyBorder="false" applyAlignment="false" applyProtection="false">
      <alignment horizontal="general" vertical="bottom" textRotation="0" wrapText="false" indent="0" shrinkToFit="false"/>
      <protection locked="true" hidden="false"/>
    </xf>
    <xf numFmtId="164" fontId="4" fillId="6" borderId="0" xfId="21" applyFont="true" applyBorder="false" applyAlignment="true" applyProtection="false">
      <alignment horizontal="center" vertical="bottom" textRotation="0" wrapText="false" indent="0" shrinkToFit="false"/>
      <protection locked="true" hidden="false"/>
    </xf>
    <xf numFmtId="164" fontId="4" fillId="6" borderId="0" xfId="21" applyFont="true" applyBorder="false" applyAlignment="false" applyProtection="false">
      <alignment horizontal="general" vertical="bottom" textRotation="0" wrapText="false" indent="0" shrinkToFit="false"/>
      <protection locked="true" hidden="false"/>
    </xf>
    <xf numFmtId="164" fontId="49" fillId="0" borderId="0" xfId="21" applyFont="true" applyBorder="false" applyAlignment="true" applyProtection="false">
      <alignment horizontal="general" vertical="bottom" textRotation="0" wrapText="false" indent="0" shrinkToFit="true"/>
      <protection locked="true" hidden="false"/>
    </xf>
    <xf numFmtId="164" fontId="56" fillId="0" borderId="0" xfId="21" applyFont="true" applyBorder="false" applyAlignment="false" applyProtection="false">
      <alignment horizontal="general" vertical="bottom" textRotation="0" wrapText="false" indent="0" shrinkToFit="false"/>
      <protection locked="true" hidden="false"/>
    </xf>
    <xf numFmtId="164" fontId="56" fillId="6" borderId="0" xfId="21" applyFont="true" applyBorder="false" applyAlignment="true" applyProtection="false">
      <alignment horizontal="center" vertical="bottom" textRotation="0" wrapText="false" indent="0" shrinkToFit="false"/>
      <protection locked="true" hidden="false"/>
    </xf>
    <xf numFmtId="164" fontId="56" fillId="6" borderId="0" xfId="21" applyFont="true" applyBorder="false" applyAlignment="false" applyProtection="false">
      <alignment horizontal="general" vertical="bottom" textRotation="0" wrapText="false" indent="0" shrinkToFit="false"/>
      <protection locked="true" hidden="false"/>
    </xf>
    <xf numFmtId="164" fontId="57" fillId="0" borderId="0" xfId="21" applyFont="true" applyBorder="false" applyAlignment="false" applyProtection="false">
      <alignment horizontal="general" vertical="bottom" textRotation="0" wrapText="false" indent="0" shrinkToFit="false"/>
      <protection locked="true" hidden="false"/>
    </xf>
    <xf numFmtId="164" fontId="57" fillId="6" borderId="0" xfId="21" applyFont="true" applyBorder="false" applyAlignment="false" applyProtection="false">
      <alignment horizontal="general" vertical="bottom" textRotation="0" wrapText="false" indent="0" shrinkToFit="false"/>
      <protection locked="true" hidden="false"/>
    </xf>
    <xf numFmtId="164" fontId="4" fillId="0" borderId="0" xfId="21" applyFont="true" applyBorder="false" applyAlignment="true" applyProtection="false">
      <alignment horizontal="center" vertical="bottom" textRotation="0" wrapText="false" indent="0" shrinkToFit="false"/>
      <protection locked="true" hidden="false"/>
    </xf>
    <xf numFmtId="164" fontId="58" fillId="0" borderId="0" xfId="21" applyFont="true" applyBorder="false" applyAlignment="false" applyProtection="false">
      <alignment horizontal="general" vertical="bottom" textRotation="0" wrapText="false" indent="0" shrinkToFit="false"/>
      <protection locked="true" hidden="false"/>
    </xf>
    <xf numFmtId="164" fontId="4" fillId="0" borderId="0" xfId="21" applyFont="true" applyBorder="false" applyAlignment="true" applyProtection="false">
      <alignment horizontal="left" vertical="bottom" textRotation="0" wrapText="false" indent="0" shrinkToFit="false"/>
      <protection locked="true" hidden="false"/>
    </xf>
    <xf numFmtId="164" fontId="4" fillId="6" borderId="0" xfId="21" applyFont="true" applyBorder="false" applyAlignment="true" applyProtection="false">
      <alignment horizontal="left" vertical="bottom" textRotation="0" wrapText="false" indent="0" shrinkToFit="false"/>
      <protection locked="true" hidden="false"/>
    </xf>
    <xf numFmtId="164" fontId="59" fillId="0" borderId="0" xfId="21" applyFont="true" applyBorder="false" applyAlignment="false" applyProtection="false">
      <alignment horizontal="general" vertical="bottom" textRotation="0" wrapText="false" indent="0" shrinkToFit="false"/>
      <protection locked="true" hidden="false"/>
    </xf>
    <xf numFmtId="164" fontId="59" fillId="0" borderId="0" xfId="21" applyFont="true" applyBorder="false" applyAlignment="true" applyProtection="false">
      <alignment horizontal="center" vertical="bottom" textRotation="0" wrapText="false" indent="0" shrinkToFit="false"/>
      <protection locked="true" hidden="false"/>
    </xf>
    <xf numFmtId="164" fontId="58" fillId="6" borderId="0" xfId="21" applyFont="true" applyBorder="false" applyAlignment="false" applyProtection="false">
      <alignment horizontal="general" vertical="bottom" textRotation="0" wrapText="false" indent="0" shrinkToFit="false"/>
      <protection locked="true" hidden="false"/>
    </xf>
    <xf numFmtId="164" fontId="51" fillId="0" borderId="0" xfId="0" applyFont="true" applyBorder="true" applyAlignment="true" applyProtection="true">
      <alignment horizontal="left" vertical="center" textRotation="0" wrapText="true" indent="1" shrinkToFit="false"/>
      <protection locked="true" hidden="false"/>
    </xf>
    <xf numFmtId="164" fontId="4" fillId="0" borderId="0" xfId="21" applyFont="true" applyBorder="false" applyAlignment="true" applyProtection="false">
      <alignment horizontal="general" vertical="top" textRotation="0" wrapText="true" indent="0" shrinkToFit="false"/>
      <protection locked="true" hidden="false"/>
    </xf>
    <xf numFmtId="164" fontId="49" fillId="0" borderId="0" xfId="21" applyFont="true" applyBorder="false" applyAlignment="true" applyProtection="false">
      <alignment horizontal="general" vertical="top" textRotation="0" wrapText="false" indent="0" shrinkToFit="true"/>
      <protection locked="true" hidden="false"/>
    </xf>
    <xf numFmtId="164" fontId="50" fillId="19" borderId="0" xfId="21" applyFont="true" applyBorder="false" applyAlignment="true" applyProtection="false">
      <alignment horizontal="center" vertical="center" textRotation="0" wrapText="true" indent="0" shrinkToFit="false"/>
      <protection locked="true" hidden="false"/>
    </xf>
    <xf numFmtId="164" fontId="50" fillId="20" borderId="0" xfId="21" applyFont="true" applyBorder="false" applyAlignment="true" applyProtection="false">
      <alignment horizontal="center" vertical="center" textRotation="0" wrapText="true" indent="0" shrinkToFit="false"/>
      <protection locked="true" hidden="false"/>
    </xf>
    <xf numFmtId="164" fontId="51" fillId="0" borderId="0" xfId="21" applyFont="true" applyBorder="false" applyAlignment="true" applyProtection="false">
      <alignment horizontal="general" vertical="top" textRotation="0" wrapText="true" indent="0" shrinkToFit="false"/>
      <protection locked="true" hidden="false"/>
    </xf>
    <xf numFmtId="164" fontId="52" fillId="0" borderId="0" xfId="21" applyFont="true" applyBorder="false" applyAlignment="true" applyProtection="false">
      <alignment horizontal="general" vertical="top" textRotation="0" wrapText="true" indent="0" shrinkToFit="false"/>
      <protection locked="true" hidden="false"/>
    </xf>
    <xf numFmtId="164" fontId="50" fillId="0" borderId="31" xfId="0" applyFont="true" applyBorder="true" applyAlignment="true" applyProtection="true">
      <alignment horizontal="general" vertical="top" textRotation="0" wrapText="true" indent="0" shrinkToFit="false"/>
      <protection locked="true" hidden="false"/>
    </xf>
    <xf numFmtId="164" fontId="50" fillId="0" borderId="32" xfId="0" applyFont="true" applyBorder="true" applyAlignment="true" applyProtection="true">
      <alignment horizontal="general" vertical="top" textRotation="0" wrapText="true" indent="0" shrinkToFit="false"/>
      <protection locked="true" hidden="false"/>
    </xf>
    <xf numFmtId="164" fontId="50" fillId="0" borderId="33" xfId="0" applyFont="true" applyBorder="true" applyAlignment="true" applyProtection="true">
      <alignment horizontal="general" vertical="top"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11">
    <dxf>
      <fill>
        <patternFill patternType="solid">
          <bgColor rgb="FF000000"/>
        </patternFill>
      </fill>
    </dxf>
    <dxf>
      <fill>
        <patternFill patternType="solid">
          <fgColor rgb="FF000000"/>
          <bgColor rgb="FF000000"/>
        </patternFill>
      </fill>
    </dxf>
    <dxf>
      <fill>
        <patternFill patternType="solid">
          <fgColor rgb="FFD9EAD3"/>
          <bgColor rgb="FF000000"/>
        </patternFill>
      </fill>
    </dxf>
    <dxf>
      <fill>
        <patternFill patternType="solid">
          <fgColor rgb="FFCAEEFB"/>
          <bgColor rgb="FF000000"/>
        </patternFill>
      </fill>
    </dxf>
    <dxf>
      <fill>
        <patternFill patternType="solid">
          <fgColor rgb="FFE6B8AF"/>
          <bgColor rgb="FF000000"/>
        </patternFill>
      </fill>
    </dxf>
    <dxf>
      <fill>
        <patternFill patternType="solid">
          <fgColor rgb="FFB7E1CD"/>
          <bgColor rgb="FF000000"/>
        </patternFill>
      </fill>
    </dxf>
    <dxf>
      <fill>
        <patternFill patternType="solid">
          <fgColor rgb="FF1A1A1A"/>
          <bgColor rgb="FF000000"/>
        </patternFill>
      </fill>
    </dxf>
    <dxf>
      <fill>
        <patternFill patternType="solid">
          <fgColor rgb="FFD9D2E9"/>
          <bgColor rgb="FF000000"/>
        </patternFill>
      </fill>
    </dxf>
    <dxf>
      <font>
        <color rgb="FFFF0000"/>
      </font>
    </dxf>
    <dxf>
      <fill>
        <patternFill patternType="solid">
          <fgColor rgb="FFA6CAEC"/>
          <bgColor rgb="FF000000"/>
        </patternFill>
      </fill>
    </dxf>
    <dxf>
      <fill>
        <patternFill patternType="solid">
          <fgColor rgb="FFF2CFEE"/>
          <bgColor rgb="FF000000"/>
        </patternFill>
      </fill>
    </dxf>
  </dxfs>
  <colors>
    <indexedColors>
      <rgbColor rgb="FF000000"/>
      <rgbColor rgb="FFFFFFFF"/>
      <rgbColor rgb="FFFF0000"/>
      <rgbColor rgb="FF00FF00"/>
      <rgbColor rgb="FF0000FF"/>
      <rgbColor rgb="FFFFFF00"/>
      <rgbColor rgb="FFFF00FF"/>
      <rgbColor rgb="FF00FFFF"/>
      <rgbColor rgb="FFBF0000"/>
      <rgbColor rgb="FF008000"/>
      <rgbColor rgb="FF000080"/>
      <rgbColor rgb="FF808000"/>
      <rgbColor rgb="FF800080"/>
      <rgbColor rgb="FF00636C"/>
      <rgbColor rgb="FFD1D1D1"/>
      <rgbColor rgb="FF808080"/>
      <rgbColor rgb="FFB7E1CD"/>
      <rgbColor rgb="FF993366"/>
      <rgbColor rgb="FFFDEEC5"/>
      <rgbColor rgb="FFCAEEFB"/>
      <rgbColor rgb="FF660066"/>
      <rgbColor rgb="FFFF8080"/>
      <rgbColor rgb="FF0066CC"/>
      <rgbColor rgb="FFD9D2E9"/>
      <rgbColor rgb="FF000080"/>
      <rgbColor rgb="FFFF00FF"/>
      <rgbColor rgb="FFFFFF00"/>
      <rgbColor rgb="FF00FFFF"/>
      <rgbColor rgb="FF800080"/>
      <rgbColor rgb="FFC00000"/>
      <rgbColor rgb="FF008080"/>
      <rgbColor rgb="FF0000FF"/>
      <rgbColor rgb="FF00CCFF"/>
      <rgbColor rgb="FFF2F2F2"/>
      <rgbColor rgb="FFD9EAD3"/>
      <rgbColor rgb="FFD9D9D9"/>
      <rgbColor rgb="FFA6CAEC"/>
      <rgbColor rgb="FFF2CFEE"/>
      <rgbColor rgb="FFD0DAF0"/>
      <rgbColor rgb="FFE6B8AF"/>
      <rgbColor rgb="FF3366FF"/>
      <rgbColor rgb="FF7ECCA0"/>
      <rgbColor rgb="FF99CC00"/>
      <rgbColor rgb="FFFFCC00"/>
      <rgbColor rgb="FFE0B233"/>
      <rgbColor rgb="FFFF6600"/>
      <rgbColor rgb="FF4C6BB3"/>
      <rgbColor rgb="FF969696"/>
      <rgbColor rgb="FF003366"/>
      <rgbColor rgb="FF467886"/>
      <rgbColor rgb="FF003300"/>
      <rgbColor rgb="FF333300"/>
      <rgbColor rgb="FF993300"/>
      <rgbColor rgb="FF993366"/>
      <rgbColor rgb="FF333399"/>
      <rgbColor rgb="FF1A1A1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Relationship Id="rId19"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educause.edu/HECVAT" TargetMode="External"/><Relationship Id="rId2" Type="http://schemas.openxmlformats.org/officeDocument/2006/relationships/hyperlink" Target="mailto:qgis-psc@lists.osgeo.org"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s://www.educause.edu/higher-education-community-vendor-assessment-toolkit/how-to-use-the-higher-education-community-vendor-assessment-toolkit" TargetMode="External"/>
</Relationships>
</file>

<file path=xl/worksheets/_rels/sheet11.xml.rels><?xml version="1.0" encoding="UTF-8"?>
<Relationships xmlns="http://schemas.openxmlformats.org/package/2006/relationships"><Relationship Id="rId1" Type="http://schemas.openxmlformats.org/officeDocument/2006/relationships/hyperlink" Target="http://www.educause.edu/HECVAT"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s://connect.educause.edu/community-home?CommunityKey=dd48df3c-8db8-4551-a9e5-a393b7a15e40" TargetMode="External"/><Relationship Id="rId2" Type="http://schemas.openxmlformats.org/officeDocument/2006/relationships/hyperlink" Target="http://www.educause.edu/HECVAT" TargetMode="External"/>
</Relationships>
</file>

<file path=xl/worksheets/_rels/sheet15.xml.rels><?xml version="1.0" encoding="UTF-8"?>
<Relationships xmlns="http://schemas.openxmlformats.org/package/2006/relationships"><Relationship Id="rId1" Type="http://schemas.openxmlformats.org/officeDocument/2006/relationships/comments" Target="../comments15.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hyperlink" Target="http://www.educause.edu/HECVAT" TargetMode="External"/><Relationship Id="rId2" Type="http://schemas.openxmlformats.org/officeDocument/2006/relationships/hyperlink" Target="https://www.qgis.org/resources/support/security/"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educause.edu/HECVAT"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educause.edu/HECVAT" TargetMode="External"/><Relationship Id="rId2" Type="http://schemas.openxmlformats.org/officeDocument/2006/relationships/hyperlink" Target="https://fr.ntc.swiss/hubfs/ntc-test-report-qgis.pdf" TargetMode="External"/>
</Relationships>
</file>

<file path=xl/worksheets/_rels/sheet5.xml.rels><?xml version="1.0" encoding="UTF-8"?>
<Relationships xmlns="http://schemas.openxmlformats.org/package/2006/relationships"><Relationship Id="rId1" Type="http://schemas.openxmlformats.org/officeDocument/2006/relationships/hyperlink" Target="http://www.educause.edu/HECVAT" TargetMode="External"/>
</Relationships>
</file>

<file path=xl/worksheets/_rels/sheet6.xml.rels><?xml version="1.0" encoding="UTF-8"?>
<Relationships xmlns="http://schemas.openxmlformats.org/package/2006/relationships"><Relationship Id="rId1" Type="http://schemas.openxmlformats.org/officeDocument/2006/relationships/hyperlink" Target="http://www.educause.edu/HECVAT" TargetMode="External"/>
</Relationships>
</file>

<file path=xl/worksheets/_rels/sheet7.xml.rels><?xml version="1.0" encoding="UTF-8"?>
<Relationships xmlns="http://schemas.openxmlformats.org/package/2006/relationships"><Relationship Id="rId1" Type="http://schemas.openxmlformats.org/officeDocument/2006/relationships/hyperlink" Target="http://www.educause.edu/HECVAT" TargetMode="External"/>
</Relationships>
</file>

<file path=xl/worksheets/_rels/sheet8.xml.rels><?xml version="1.0" encoding="UTF-8"?>
<Relationships xmlns="http://schemas.openxmlformats.org/package/2006/relationships"><Relationship Id="rId1" Type="http://schemas.openxmlformats.org/officeDocument/2006/relationships/hyperlink" Target="http://www.educause.edu/HECVAT" TargetMode="External"/>
</Relationships>
</file>

<file path=xl/worksheets/_rels/sheet9.xml.rels><?xml version="1.0" encoding="UTF-8"?>
<Relationships xmlns="http://schemas.openxmlformats.org/package/2006/relationships"><Relationship Id="rId1" Type="http://schemas.openxmlformats.org/officeDocument/2006/relationships/hyperlink" Target="http://www.educause.edu/HECVAT" TargetMode="External"/><Relationship Id="rId2" Type="http://schemas.openxmlformats.org/officeDocument/2006/relationships/hyperlink" Target="http://www.educause.edu/HECVA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636C"/>
    <pageSetUpPr fitToPage="false"/>
  </sheetPr>
  <dimension ref="A1:J75"/>
  <sheetViews>
    <sheetView showFormulas="false" showGridLines="false" showRowColHeaders="true" showZeros="false" rightToLeft="false" tabSelected="false" showOutlineSymbols="true" defaultGridColor="true" view="normal" topLeftCell="A34" colorId="64" zoomScale="95" zoomScaleNormal="95" zoomScalePageLayoutView="100" workbookViewId="0">
      <selection pane="topLeft" activeCell="D20" activeCellId="0" sqref="D20"/>
    </sheetView>
  </sheetViews>
  <sheetFormatPr defaultColWidth="6.6015625" defaultRowHeight="12.8" customHeight="true" zeroHeight="true" outlineLevelRow="0" outlineLevelCol="0"/>
  <cols>
    <col collapsed="false" customWidth="true" hidden="false" outlineLevel="0" max="1" min="1" style="0" width="8.3"/>
    <col collapsed="false" customWidth="true" hidden="false" outlineLevel="0" max="2" min="2" style="1" width="55.1"/>
    <col collapsed="false" customWidth="true" hidden="false" outlineLevel="0" max="3" min="3" style="2" width="18.9"/>
    <col collapsed="false" customWidth="true" hidden="false" outlineLevel="0" max="4" min="4" style="3" width="55.7"/>
    <col collapsed="false" customWidth="true" hidden="false" outlineLevel="0" max="5" min="5" style="4" width="32"/>
    <col collapsed="false" customWidth="true" hidden="false" outlineLevel="0" max="6" min="6" style="1" width="30.7"/>
    <col collapsed="false" customWidth="true" hidden="false" outlineLevel="0" max="7" min="7" style="1" width="18.1"/>
    <col collapsed="false" customWidth="true" hidden="true" outlineLevel="0" max="8" min="8" style="1" width="16.6"/>
    <col collapsed="false" customWidth="true" hidden="true" outlineLevel="0" max="9" min="9" style="5" width="18.1"/>
    <col collapsed="false" customWidth="true" hidden="true" outlineLevel="0" max="10" min="10" style="1" width="18.1"/>
    <col collapsed="false" customWidth="true" hidden="true" outlineLevel="0" max="11" min="11" style="1" width="4.5"/>
    <col collapsed="false" customWidth="false" hidden="true" outlineLevel="0" max="12" min="12" style="1" width="6.6"/>
    <col collapsed="false" customWidth="false" hidden="true" outlineLevel="0" max="16384" min="13" style="0" width="6.6"/>
  </cols>
  <sheetData>
    <row r="1" customFormat="false" ht="231.3" hidden="true" customHeight="false" outlineLevel="0" collapsed="false">
      <c r="A1" s="6" t="s">
        <v>0</v>
      </c>
    </row>
    <row r="2" customFormat="false" ht="36" hidden="false" customHeight="true" outlineLevel="0" collapsed="false">
      <c r="A2" s="7" t="s">
        <v>1</v>
      </c>
      <c r="B2" s="7"/>
      <c r="C2" s="8"/>
      <c r="D2" s="9"/>
      <c r="E2" s="10"/>
      <c r="F2" s="10" t="str">
        <f aca="false">'Auto Responses'!$A$36</f>
        <v>Version 4.1.2</v>
      </c>
    </row>
    <row r="3" s="1" customFormat="true" ht="28.5" hidden="false" customHeight="true" outlineLevel="0" collapsed="false">
      <c r="A3" s="11" t="s">
        <v>2</v>
      </c>
      <c r="B3" s="12"/>
      <c r="C3" s="13"/>
      <c r="D3" s="14"/>
      <c r="E3" s="15"/>
      <c r="F3" s="16"/>
      <c r="I3" s="5"/>
    </row>
    <row r="4" s="1" customFormat="true" ht="36" hidden="false" customHeight="true" outlineLevel="0" collapsed="false">
      <c r="A4" s="17" t="s">
        <v>3</v>
      </c>
      <c r="B4" s="18"/>
      <c r="C4" s="19"/>
      <c r="D4" s="20"/>
      <c r="E4" s="21"/>
      <c r="F4" s="21"/>
      <c r="I4" s="5"/>
    </row>
    <row r="5" s="1" customFormat="true" ht="19.5" hidden="false" customHeight="true" outlineLevel="0" collapsed="false">
      <c r="A5" s="22" t="str">
        <f aca="false">HLOOKUP($A$4,'Auto Responses'!$D$2:$D$8,2,0)&amp;""</f>
        <v>1. Complete the "Start Here" tab and review the "Required Questions" guidance to find the other sections are required for your product or service.</v>
      </c>
      <c r="B5" s="23"/>
      <c r="C5" s="24"/>
      <c r="D5" s="25"/>
      <c r="E5" s="23"/>
      <c r="F5" s="26"/>
      <c r="I5" s="5"/>
    </row>
    <row r="6" s="1" customFormat="true" ht="19.5" hidden="false" customHeight="true" outlineLevel="0" collapsed="false">
      <c r="A6" s="22" t="str">
        <f aca="false">HLOOKUP($A$4,'Auto Responses'!$D$2:$D$8,3,0)&amp;""</f>
        <v>2. Complete the "Organization" tab and the applicable questions in each of the next 5 tabs (Product through Privacy) that apply, based on your answers to the "Required Questions."</v>
      </c>
      <c r="B6" s="23"/>
      <c r="C6" s="24"/>
      <c r="D6" s="25"/>
      <c r="E6" s="23"/>
      <c r="F6" s="27"/>
      <c r="I6" s="5"/>
    </row>
    <row r="7" s="1" customFormat="true" ht="19.5" hidden="false" customHeight="true" outlineLevel="0" collapsed="false">
      <c r="A7" s="22" t="str">
        <f aca="false">HLOOKUP($A$4,'Auto Responses'!$D$2:$D$8,4,0)&amp;""</f>
        <v>3. Guidance in column E may change based on your answers to prompt details in "Additional Information." If leaving an answer blank, you must also state why in "Additional Information". </v>
      </c>
      <c r="B7" s="23"/>
      <c r="C7" s="24"/>
      <c r="D7" s="25"/>
      <c r="E7" s="23"/>
      <c r="F7" s="27"/>
      <c r="I7" s="5"/>
    </row>
    <row r="8" s="1" customFormat="true" ht="19.5" hidden="false" customHeight="true" outlineLevel="0" collapsed="false">
      <c r="A8" s="22" t="str">
        <f aca="false">HLOOKUP($A$4,'Auto Responses'!$D$2:$D$8,5,0)&amp;""</f>
        <v>4. DO NOT complete any fields in the "Evaluation" sheets or the "Analyst Notes" column.</v>
      </c>
      <c r="B8" s="23"/>
      <c r="C8" s="24"/>
      <c r="D8" s="25"/>
      <c r="E8" s="23"/>
      <c r="F8" s="27"/>
      <c r="I8" s="5"/>
    </row>
    <row r="9" s="1" customFormat="true" ht="19.5" hidden="false" customHeight="true" outlineLevel="0" collapsed="false">
      <c r="A9" s="22" t="str">
        <f aca="false">HLOOKUP($A$4,'Auto Responses'!$D$2:$D$8,6,0)&amp;""</f>
        <v>5. Return the completed file to institutions.</v>
      </c>
      <c r="B9" s="23"/>
      <c r="C9" s="24"/>
      <c r="D9" s="25"/>
      <c r="E9" s="23"/>
      <c r="F9" s="27"/>
      <c r="I9" s="5"/>
    </row>
    <row r="10" s="1" customFormat="true" ht="19.5" hidden="false" customHeight="true" outlineLevel="0" collapsed="false">
      <c r="A10" s="28" t="str">
        <f aca="false">HLOOKUP($A$4,'Auto Responses'!$D$2:$D$8,7,0)&amp;""</f>
        <v>* Denotes critical questions. Critical questions are those deemed most important to institutions by higher education volunteers.</v>
      </c>
      <c r="B10" s="23"/>
      <c r="C10" s="24"/>
      <c r="D10" s="25"/>
      <c r="E10" s="23"/>
      <c r="F10" s="27"/>
      <c r="I10" s="5"/>
    </row>
    <row r="11" s="1" customFormat="true" ht="19.5" hidden="false" customHeight="true" outlineLevel="0" collapsed="false">
      <c r="A11" s="29" t="str">
        <f aca="false">HLOOKUP($A$4,'Auto Responses'!$D$2:$D$9,8,0)&amp;""</f>
        <v>For full instructions, please visit educause.edu/HECVAT</v>
      </c>
      <c r="B11" s="23"/>
      <c r="C11" s="24"/>
      <c r="D11" s="25"/>
      <c r="E11" s="23"/>
      <c r="F11" s="30"/>
      <c r="I11" s="5"/>
    </row>
    <row r="12" s="1" customFormat="true" ht="36" hidden="false" customHeight="true" outlineLevel="0" collapsed="false">
      <c r="A12" s="31" t="str">
        <f aca="false">VLOOKUP(LEFT($A13,4),'Auto Responses'!$N$4:$O$38,2,0)&amp;""</f>
        <v> General Information</v>
      </c>
      <c r="B12" s="18"/>
      <c r="C12" s="32"/>
      <c r="D12" s="33"/>
      <c r="E12" s="34"/>
      <c r="F12" s="34"/>
      <c r="I12" s="5"/>
    </row>
    <row r="13" s="1" customFormat="true" ht="21.75" hidden="false" customHeight="true" outlineLevel="0" collapsed="false">
      <c r="A13" s="35" t="s">
        <v>4</v>
      </c>
      <c r="B13" s="36" t="str">
        <f aca="false">VLOOKUP($A13,Questions!$A$2:$X$333,2,0)&amp;""</f>
        <v>Solution Provider Name</v>
      </c>
      <c r="C13" s="37" t="s">
        <v>5</v>
      </c>
      <c r="D13" s="38"/>
      <c r="E13" s="38"/>
      <c r="F13" s="16"/>
      <c r="I13" s="5"/>
    </row>
    <row r="14" s="1" customFormat="true" ht="21.75" hidden="false" customHeight="true" outlineLevel="0" collapsed="false">
      <c r="A14" s="35" t="s">
        <v>6</v>
      </c>
      <c r="B14" s="36" t="str">
        <f aca="false">VLOOKUP($A14,Questions!$A$2:$X$333,2,0)&amp;""</f>
        <v>Solution Name</v>
      </c>
      <c r="C14" s="37" t="s">
        <v>5</v>
      </c>
      <c r="D14" s="38"/>
      <c r="E14" s="39"/>
      <c r="F14" s="16"/>
      <c r="I14" s="5"/>
    </row>
    <row r="15" s="1" customFormat="true" ht="21.75" hidden="false" customHeight="true" outlineLevel="0" collapsed="false">
      <c r="A15" s="35" t="s">
        <v>7</v>
      </c>
      <c r="B15" s="36" t="str">
        <f aca="false">VLOOKUP($A15,Questions!$A$2:$X$333,2,0)&amp;""</f>
        <v>Solution Description</v>
      </c>
      <c r="C15" s="40" t="s">
        <v>8</v>
      </c>
      <c r="D15" s="38"/>
      <c r="E15" s="39"/>
      <c r="F15" s="16"/>
      <c r="I15" s="5"/>
    </row>
    <row r="16" s="1" customFormat="true" ht="21.75" hidden="false" customHeight="true" outlineLevel="0" collapsed="false">
      <c r="A16" s="35" t="s">
        <v>9</v>
      </c>
      <c r="B16" s="36" t="str">
        <f aca="false">VLOOKUP($A16,Questions!$A$2:$X$333,2,0)&amp;""</f>
        <v>Solution Provider Contact Name</v>
      </c>
      <c r="C16" s="37" t="s">
        <v>10</v>
      </c>
      <c r="D16" s="38"/>
      <c r="E16" s="39"/>
      <c r="F16" s="16"/>
      <c r="I16" s="5"/>
    </row>
    <row r="17" s="1" customFormat="true" ht="21.75" hidden="false" customHeight="true" outlineLevel="0" collapsed="false">
      <c r="A17" s="35" t="s">
        <v>11</v>
      </c>
      <c r="B17" s="36" t="str">
        <f aca="false">VLOOKUP($A17,Questions!$A$2:$X$333,2,0)&amp;""</f>
        <v>Solution Provider Contact Title</v>
      </c>
      <c r="C17" s="37" t="s">
        <v>12</v>
      </c>
      <c r="D17" s="3"/>
      <c r="E17" s="39"/>
      <c r="F17" s="16"/>
      <c r="I17" s="5"/>
    </row>
    <row r="18" s="1" customFormat="true" ht="21.75" hidden="false" customHeight="true" outlineLevel="0" collapsed="false">
      <c r="A18" s="35" t="s">
        <v>13</v>
      </c>
      <c r="B18" s="36" t="str">
        <f aca="false">VLOOKUP($A18,Questions!$A$2:$X$333,2,0)&amp;""</f>
        <v>Solution Provider Contact Email</v>
      </c>
      <c r="C18" s="41" t="s">
        <v>14</v>
      </c>
      <c r="D18" s="38"/>
      <c r="E18" s="39"/>
      <c r="F18" s="16"/>
      <c r="I18" s="5"/>
    </row>
    <row r="19" s="1" customFormat="true" ht="21.75" hidden="false" customHeight="true" outlineLevel="0" collapsed="false">
      <c r="A19" s="35" t="s">
        <v>15</v>
      </c>
      <c r="B19" s="36" t="str">
        <f aca="false">VLOOKUP($A19,Questions!$A$2:$X$333,2,0)&amp;""</f>
        <v>Solution Provider Contact Phone Number</v>
      </c>
      <c r="C19" s="37" t="s">
        <v>16</v>
      </c>
      <c r="D19" s="38"/>
      <c r="E19" s="39"/>
      <c r="F19" s="16"/>
      <c r="I19" s="5"/>
    </row>
    <row r="20" s="1" customFormat="true" ht="21.75" hidden="false" customHeight="true" outlineLevel="0" collapsed="false">
      <c r="A20" s="35" t="s">
        <v>17</v>
      </c>
      <c r="B20" s="36" t="str">
        <f aca="false">VLOOKUP($A20,Questions!$A$2:$X$333,2,0)&amp;""</f>
        <v>Country of Company Headquarters</v>
      </c>
      <c r="C20" s="37" t="s">
        <v>18</v>
      </c>
      <c r="D20" s="38"/>
      <c r="E20" s="39"/>
      <c r="F20" s="16"/>
      <c r="I20" s="5"/>
    </row>
    <row r="21" s="1" customFormat="true" ht="21.75" hidden="false" customHeight="true" outlineLevel="0" collapsed="false">
      <c r="A21" s="35" t="s">
        <v>19</v>
      </c>
      <c r="B21" s="36" t="str">
        <f aca="false">VLOOKUP($A21,Questions!$A$2:$X$333,2,0)&amp;""</f>
        <v>Employee Work Locations (all)</v>
      </c>
      <c r="C21" s="37" t="s">
        <v>20</v>
      </c>
      <c r="D21" s="38"/>
      <c r="E21" s="39"/>
      <c r="F21" s="16"/>
      <c r="I21" s="5"/>
    </row>
    <row r="22" s="1" customFormat="true" ht="36.75" hidden="false" customHeight="true" outlineLevel="0" collapsed="false">
      <c r="A22" s="31" t="str">
        <f aca="false">VLOOKUP(LEFT($A23,4),'Auto Responses'!$N$4:$O$38,2,0)&amp;""</f>
        <v> Company Information</v>
      </c>
      <c r="B22" s="42"/>
      <c r="C22" s="19" t="s">
        <v>21</v>
      </c>
      <c r="D22" s="19" t="s">
        <v>22</v>
      </c>
      <c r="E22" s="43" t="s">
        <v>23</v>
      </c>
      <c r="F22" s="44" t="s">
        <v>24</v>
      </c>
      <c r="I22" s="5"/>
    </row>
    <row r="23" s="1" customFormat="true" ht="55.5" hidden="false" customHeight="true" outlineLevel="0" collapsed="false">
      <c r="A23" s="35" t="s">
        <v>25</v>
      </c>
      <c r="B23" s="45" t="str">
        <f aca="false">VLOOKUP($A23,Questions!$A$2:$X$333,2,0)&amp;""</f>
        <v>Do you have a dedicated software and system development team(s) (e.g., customer support, implementation, product management, etc.)?*</v>
      </c>
      <c r="C23" s="46" t="s">
        <v>26</v>
      </c>
      <c r="D23" s="47" t="s">
        <v>27</v>
      </c>
      <c r="E23" s="48" t="str">
        <f aca="false">IF($C23="Yes",VLOOKUP($A23,Questions!$A$2:$X$333,17,0)&amp;"",IF($C23="No",VLOOKUP($A23,Questions!$A$2:$X$333,16,0)&amp;"",VLOOKUP($A23,Questions!$A$2:$X$333,15,0)&amp;""))</f>
        <v>Describe any plans to create a dedicated software and system development team.</v>
      </c>
      <c r="F23" s="49" t="str">
        <f aca="false">VLOOKUP($A23,'Institution Evaluation'!$A$56:$F$346,6,0)&amp;""</f>
        <v/>
      </c>
      <c r="I23" s="5"/>
    </row>
    <row r="24" s="1" customFormat="true" ht="102.2" hidden="false" customHeight="false" outlineLevel="0" collapsed="false">
      <c r="A24" s="35" t="s">
        <v>28</v>
      </c>
      <c r="B24" s="45" t="str">
        <f aca="false">VLOOKUP($A24,Questions!$A$2:$X$333,2,0)&amp;""</f>
        <v>Describe your organization’s business background and ownership structure, including all parent and subsidiary relationships.</v>
      </c>
      <c r="C24" s="50" t="s">
        <v>29</v>
      </c>
      <c r="D24" s="47"/>
      <c r="E24" s="48" t="str">
        <f aca="false">IF($C24="Yes",VLOOKUP($A24,Questions!$A$2:$X$333,17,0)&amp;"",IF($C24="No",VLOOKUP($A24,Questions!$A$2:$X$333,16,0)&amp;"",VLOOKUP($A24,Questions!$A$2:$X$333,15,0)&amp;""))</f>
        <v>Include circumstances that may involve offshoring or multinational agreements.</v>
      </c>
      <c r="F24" s="49" t="str">
        <f aca="false">VLOOKUP($A24,'Institution Evaluation'!$A$56:$F$346,6,0)&amp;""</f>
        <v/>
      </c>
      <c r="I24" s="5"/>
    </row>
    <row r="25" s="1" customFormat="true" ht="39.75" hidden="false" customHeight="true" outlineLevel="0" collapsed="false">
      <c r="A25" s="35" t="s">
        <v>30</v>
      </c>
      <c r="B25" s="45" t="str">
        <f aca="false">VLOOKUP($A25,Questions!$A$2:$X$333,2,0)&amp;""</f>
        <v>Have you operated without unplanned disruptions to this solution in the past 12 months?</v>
      </c>
      <c r="C25" s="46" t="s">
        <v>31</v>
      </c>
      <c r="D25" s="47" t="s">
        <v>32</v>
      </c>
      <c r="E25" s="48" t="str">
        <f aca="false">IF($C25="Yes",VLOOKUP($A25,Questions!$A$2:$X$333,17,0)&amp;"",IF($C25="No",VLOOKUP($A25,Questions!$A$2:$X$333,16,0)&amp;"",VLOOKUP($A25,Questions!$A$2:$X$333,15,0)&amp;""))</f>
        <v/>
      </c>
      <c r="F25" s="49" t="str">
        <f aca="false">VLOOKUP($A25,'Institution Evaluation'!$A$56:$F$346,6,0)&amp;""</f>
        <v/>
      </c>
      <c r="I25" s="5"/>
    </row>
    <row r="26" s="1" customFormat="true" ht="49.5" hidden="false" customHeight="true" outlineLevel="0" collapsed="false">
      <c r="A26" s="35" t="s">
        <v>33</v>
      </c>
      <c r="B26" s="45" t="str">
        <f aca="false">VLOOKUP($A26,Questions!$A$2:$X$333,2,0)&amp;""</f>
        <v>Do you have a dedicated information security staff or office?</v>
      </c>
      <c r="C26" s="46" t="s">
        <v>31</v>
      </c>
      <c r="D26" s="47" t="s">
        <v>34</v>
      </c>
      <c r="E26" s="48" t="str">
        <f aca="false">IF($C26="Yes",VLOOKUP($A26,Questions!$A$2:$X$333,17,0)&amp;"",IF($C26="No",VLOOKUP($A26,Questions!$A$2:$X$333,16,0)&amp;"",VLOOKUP($A26,Questions!$A$2:$X$333,15,0)&amp;""))</f>
        <v>Describe your information security office, including size, talents, resources, etc.</v>
      </c>
      <c r="F26" s="49" t="str">
        <f aca="false">VLOOKUP($A26,'Institution Evaluation'!$A$56:$F$346,6,0)&amp;""</f>
        <v/>
      </c>
      <c r="I26" s="5"/>
    </row>
    <row r="27" s="1" customFormat="true" ht="359.75" hidden="false" customHeight="false" outlineLevel="0" collapsed="false">
      <c r="A27" s="35" t="s">
        <v>35</v>
      </c>
      <c r="B27" s="45" t="str">
        <f aca="false">VLOOKUP($A27,Questions!$A$2:$X$333,2,0)&amp;""</f>
        <v>Use this area to share information about your environment that will assist those who are assessing your company's data security program.</v>
      </c>
      <c r="C27" s="47" t="s">
        <v>36</v>
      </c>
      <c r="D27" s="0"/>
      <c r="E27" s="48" t="str">
        <f aca="false">IF($C27="Yes",VLOOKUP($A27,Questions!$A$2:$X$333,17,0)&amp;"",IF($C27="No",VLOOKUP($A27,Questions!$A$2:$X$333,16,0)&amp;"",VLOOKUP($A27,Questions!$A$2:$X$333,15,0)&amp;""))</f>
        <v>Share any details that would help information security analysts assess your solution.</v>
      </c>
      <c r="F27" s="49" t="str">
        <f aca="false">VLOOKUP($A27,'Institution Evaluation'!$A$56:$F$346,6,0)&amp;""</f>
        <v/>
      </c>
      <c r="G27" s="51" t="s">
        <v>37</v>
      </c>
      <c r="I27" s="5"/>
    </row>
    <row r="28" s="1" customFormat="true" ht="36.75" hidden="false" customHeight="true" outlineLevel="0" collapsed="false">
      <c r="A28" s="31" t="str">
        <f aca="false">VLOOKUP(LEFT($A29,4),'Auto Responses'!$N$4:$O$38,2,0)&amp;""</f>
        <v> Required Questions</v>
      </c>
      <c r="B28" s="42"/>
      <c r="C28" s="19" t="s">
        <v>21</v>
      </c>
      <c r="D28" s="19" t="s">
        <v>22</v>
      </c>
      <c r="E28" s="43" t="s">
        <v>23</v>
      </c>
      <c r="F28" s="52" t="s">
        <v>24</v>
      </c>
      <c r="I28" s="5"/>
    </row>
    <row r="29" s="1" customFormat="true" ht="48" hidden="false" customHeight="true" outlineLevel="0" collapsed="false">
      <c r="A29" s="35" t="s">
        <v>38</v>
      </c>
      <c r="B29" s="45" t="str">
        <f aca="false">VLOOKUP($A29,Questions!$A$2:$X$333,2,0)&amp;""</f>
        <v>Are you offering a cloud-based product?</v>
      </c>
      <c r="C29" s="46" t="s">
        <v>26</v>
      </c>
      <c r="D29" s="53" t="s">
        <v>39</v>
      </c>
      <c r="E29" s="48" t="str">
        <f aca="false">IF($C29="Yes",VLOOKUP($A29,Questions!$A$2:$X$333,17,0)&amp;"",IF($C29="No",VLOOKUP($A29,Questions!$A$2:$X$333,16,0)&amp;"",VLOOKUP($A29,Questions!$A$2:$X$333,15,0)&amp;""))</f>
        <v>DO NOT complete the Product and Infrastructure worksheets</v>
      </c>
      <c r="F29" s="49" t="str">
        <f aca="false">VLOOKUP($A29,'Institution Evaluation'!$A$56:$F$346,6,0)&amp;""</f>
        <v/>
      </c>
      <c r="I29" s="5"/>
    </row>
    <row r="30" s="1" customFormat="true" ht="58.5" hidden="false" customHeight="true" outlineLevel="0" collapsed="false">
      <c r="A30" s="35" t="s">
        <v>40</v>
      </c>
      <c r="B30" s="45" t="str">
        <f aca="false">VLOOKUP($A30,Questions!$A$2:$X$333,2,0)&amp;""</f>
        <v>Does your product or service have an interface?</v>
      </c>
      <c r="C30" s="46" t="s">
        <v>31</v>
      </c>
      <c r="D30" s="53" t="s">
        <v>41</v>
      </c>
      <c r="E30" s="48" t="str">
        <f aca="false">IF($C30="Yes",VLOOKUP($A30,Questions!$A$2:$X$333,17,0)&amp;"",IF($C30="No",VLOOKUP($A30,Questions!$A$2:$X$333,16,0)&amp;"",VLOOKUP($A30,Questions!$A$2:$X$333,15,0)&amp;""))</f>
        <v>DO complete the IT Accessibility worksheet.</v>
      </c>
      <c r="F30" s="49" t="str">
        <f aca="false">VLOOKUP($A30,'Institution Evaluation'!$A$56:$F$346,6,0)&amp;""</f>
        <v/>
      </c>
      <c r="I30" s="5"/>
    </row>
    <row r="31" customFormat="false" ht="54" hidden="false" customHeight="true" outlineLevel="0" collapsed="false">
      <c r="A31" s="35" t="s">
        <v>42</v>
      </c>
      <c r="B31" s="45" t="str">
        <f aca="false">VLOOKUP($A31,Questions!$A$2:$X$333,2,0)&amp;""</f>
        <v>Are you providing consulting services?</v>
      </c>
      <c r="C31" s="46" t="s">
        <v>26</v>
      </c>
      <c r="D31" s="53" t="s">
        <v>43</v>
      </c>
      <c r="E31" s="48" t="str">
        <f aca="false">IF($C31="Yes",VLOOKUP($A31,Questions!$A$2:$X$333,17,0)&amp;"",IF($C31="No",VLOOKUP($A31,Questions!$A$2:$X$333,16,0)&amp;"",VLOOKUP($A31,Questions!$A$2:$X$333,15,0)&amp;""))</f>
        <v>DO NOT complete the Consulting section in the Case-Specific worksheet</v>
      </c>
      <c r="F31" s="49" t="str">
        <f aca="false">VLOOKUP($A31,'Institution Evaluation'!$A$56:$F$346,6,0)&amp;""</f>
        <v/>
      </c>
    </row>
    <row r="32" customFormat="false" ht="54" hidden="false" customHeight="true" outlineLevel="0" collapsed="false">
      <c r="A32" s="35" t="s">
        <v>44</v>
      </c>
      <c r="B32" s="45" t="str">
        <f aca="false">VLOOKUP($A32,Questions!$A$2:$X$333,2,0)&amp;""</f>
        <v>Does your solution have AI features, or are there plans to implement AI features in the next 12 months?</v>
      </c>
      <c r="C32" s="46" t="s">
        <v>26</v>
      </c>
      <c r="D32" s="53"/>
      <c r="E32" s="48" t="str">
        <f aca="false">IF($C32="Yes",VLOOKUP($A32,Questions!$A$2:$X$333,17,0)&amp;"",IF($C32="No",VLOOKUP($A32,Questions!$A$2:$X$333,16,0)&amp;"",VLOOKUP($A32,Questions!$A$2:$X$333,15,0)&amp;""))</f>
        <v>DO NOT complete the Artificial Intelligence (AI) worksheet</v>
      </c>
      <c r="F32" s="49" t="str">
        <f aca="false">VLOOKUP($A32,'Institution Evaluation'!$A$56:$F$346,6,0)&amp;""</f>
        <v/>
      </c>
    </row>
    <row r="33" customFormat="false" ht="54" hidden="false" customHeight="true" outlineLevel="0" collapsed="false">
      <c r="A33" s="35" t="s">
        <v>45</v>
      </c>
      <c r="B33" s="45" t="str">
        <f aca="false">VLOOKUP($A33,Questions!$A$2:$X$333,2,0)&amp;""</f>
        <v>Does your solution process protected health information (PHI) or any data covered by the Health Insurance Portability and Accountability Act (HIPAA)?</v>
      </c>
      <c r="C33" s="46" t="s">
        <v>26</v>
      </c>
      <c r="D33" s="53"/>
      <c r="E33" s="48" t="str">
        <f aca="false">IF($C33="Yes",VLOOKUP($A33,Questions!$A$2:$X$333,17,0)&amp;"",IF($C33="No",VLOOKUP($A33,Questions!$A$2:$X$333,16,0)&amp;"",VLOOKUP($A33,Questions!$A$2:$X$333,15,0)&amp;""))</f>
        <v>DO NOT complete the HIPAA section in the Case-Specific worksheet</v>
      </c>
      <c r="F33" s="49" t="str">
        <f aca="false">VLOOKUP($A33,'Institution Evaluation'!$A$56:$F$346,6,0)&amp;""</f>
        <v/>
      </c>
    </row>
    <row r="34" customFormat="false" ht="54" hidden="false" customHeight="true" outlineLevel="0" collapsed="false">
      <c r="A34" s="35" t="s">
        <v>46</v>
      </c>
      <c r="B34" s="45" t="str">
        <f aca="false">VLOOKUP($A34,Questions!$A$2:$X$333,2,0)&amp;""</f>
        <v>Is the solution designed to process, store, or transmit credit card information?</v>
      </c>
      <c r="C34" s="46" t="s">
        <v>26</v>
      </c>
      <c r="D34" s="53"/>
      <c r="E34" s="48" t="str">
        <f aca="false">IF($C34="Yes",VLOOKUP($A34,Questions!$A$2:$X$333,17,0)&amp;"",IF($C34="No",VLOOKUP($A34,Questions!$A$2:$X$333,16,0)&amp;"",VLOOKUP($A34,Questions!$A$2:$X$333,15,0)&amp;""))</f>
        <v>DO NOT complete the PCI-DSS section in the Case-Specific worksheet</v>
      </c>
      <c r="F34" s="49" t="str">
        <f aca="false">VLOOKUP($A34,'Institution Evaluation'!$A$56:$F$346,6,0)&amp;""</f>
        <v/>
      </c>
    </row>
    <row r="35" customFormat="false" ht="66" hidden="false" customHeight="true" outlineLevel="0" collapsed="false">
      <c r="A35" s="35" t="s">
        <v>47</v>
      </c>
      <c r="B35" s="45" t="str">
        <f aca="false">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46" t="s">
        <v>26</v>
      </c>
      <c r="D35" s="53"/>
      <c r="E35" s="48" t="str">
        <f aca="false">IF($C35="Yes",VLOOKUP($A35,Questions!$A$2:$X$333,17,0)&amp;"",IF($C35="No",VLOOKUP($A35,Questions!$A$2:$X$333,16,0)&amp;"",VLOOKUP($A35,Questions!$A$2:$X$333,15,0)&amp;""))</f>
        <v>DO NOT complete the On-Prem section in the Case-Specific worksheet</v>
      </c>
      <c r="F35" s="49" t="str">
        <f aca="false">VLOOKUP($A35,'Institution Evaluation'!$A$56:$F$346,6,0)&amp;""</f>
        <v/>
      </c>
    </row>
    <row r="36" customFormat="false" ht="63.75" hidden="false" customHeight="true" outlineLevel="0" collapsed="false">
      <c r="A36" s="54" t="s">
        <v>48</v>
      </c>
      <c r="B36" s="45" t="str">
        <f aca="false">VLOOKUP($A36,Questions!$A$2:$X$333,2,0)&amp;""</f>
        <v>Does your solution have access to personal or institutional data?</v>
      </c>
      <c r="C36" s="46" t="s">
        <v>26</v>
      </c>
      <c r="D36" s="53"/>
      <c r="E36" s="48" t="str">
        <f aca="false">IF($C36="Yes",VLOOKUP($A36,Questions!$A$2:$X$333,17,0)&amp;"",IF($C36="No",VLOOKUP($A36,Questions!$A$2:$X$333,16,0)&amp;"",VLOOKUP($A36,Questions!$A$2:$X$333,15,0)&amp;""))</f>
        <v>DO NOT complete the Privacy tab</v>
      </c>
      <c r="F36" s="49" t="str">
        <f aca="false">VLOOKUP($A36,'Institution Evaluation'!$A$56:$F$346,6,0)&amp;""</f>
        <v/>
      </c>
      <c r="G36" s="51" t="s">
        <v>37</v>
      </c>
      <c r="H36" s="5"/>
      <c r="I36" s="1"/>
      <c r="J36" s="5"/>
    </row>
    <row r="37" customFormat="false" ht="63.75" hidden="false" customHeight="true" outlineLevel="0" collapsed="false">
      <c r="A37" s="55" t="s">
        <v>49</v>
      </c>
      <c r="B37" s="56"/>
      <c r="C37" s="57"/>
      <c r="D37" s="58"/>
      <c r="E37" s="59"/>
      <c r="F37" s="60"/>
      <c r="G37" s="51"/>
      <c r="H37" s="5"/>
      <c r="I37" s="1"/>
      <c r="J37" s="5"/>
    </row>
    <row r="38" customFormat="false" ht="24.75" hidden="false" customHeight="true" outlineLevel="0" collapsed="false">
      <c r="A38" s="61" t="s">
        <v>50</v>
      </c>
    </row>
    <row r="39" customFormat="false" ht="15" hidden="true" customHeight="true" outlineLevel="0" collapsed="false"/>
    <row r="74" customFormat="false" ht="15" hidden="true" customHeight="true" outlineLevel="0" collapsed="false"/>
    <row r="75" customFormat="false" ht="15" hidden="true" customHeight="true" outlineLevel="0" collapsed="false"/>
  </sheetData>
  <dataValidations count="3">
    <dataValidation allowBlank="true" errorStyle="stop" operator="between" prompt="The HECVAT is built using a number of complex formulas. Editing this cell can break the functionality of the tool. " promptTitle="Warning!" showDropDown="false" showErrorMessage="true" showInputMessage="true" sqref="A1:B1 B2:F2 A3:B38 C4:F12 C22:F22 E23:F27 C28:F28 E29:F36" type="none">
      <formula1>0</formula1>
      <formula2>0</formula2>
    </dataValidation>
    <dataValidation allowBlank="true" errorStyle="stop" operator="between" prompt="This cell should be left blank. Input your answer in column C." showDropDown="false" showErrorMessage="true" showInputMessage="true" sqref="D3:F3 D13:F16 E17:F17 D18:F21 D24 C27" type="none">
      <formula1>0</formula1>
      <formula2>0</formula2>
    </dataValidation>
    <dataValidation allowBlank="true" errorStyle="stop" operator="between" showDropDown="false" showErrorMessage="true" showInputMessage="true" sqref="C23 C25:C26 C29:C37" type="list">
      <formula1>'Auto Responses'!$J$3:$J$4</formula1>
      <formula2>0</formula2>
    </dataValidation>
  </dataValidations>
  <hyperlinks>
    <hyperlink ref="A11" r:id="rId1" display="http://www.educause.edu/HECVAT"/>
    <hyperlink ref="C18" r:id="rId2" display="qgis-psc@lists.osgeo.org"/>
  </hyperlinks>
  <printOptions headings="false" gridLines="false" gridLinesSet="true" horizontalCentered="false" verticalCentered="false"/>
  <pageMargins left="0.75" right="0.75" top="1" bottom="1"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&amp;L&amp;"Arial,Regular"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0B233"/>
    <pageSetUpPr fitToPage="false"/>
  </sheetPr>
  <dimension ref="A1:LZ696"/>
  <sheetViews>
    <sheetView showFormulas="false" showGridLines="false" showRowColHeaders="true" showZeros="false" rightToLeft="false" tabSelected="false" showOutlineSymbols="true" defaultGridColor="true" view="normal" topLeftCell="A13" colorId="64" zoomScale="95" zoomScaleNormal="95" zoomScalePageLayoutView="100" workbookViewId="0">
      <selection pane="topLeft" activeCell="J18" activeCellId="0" sqref="J18"/>
    </sheetView>
  </sheetViews>
  <sheetFormatPr defaultColWidth="8.50390625" defaultRowHeight="15" customHeight="true" zeroHeight="true" outlineLevelRow="0" outlineLevelCol="0"/>
  <cols>
    <col collapsed="false" customWidth="true" hidden="false" outlineLevel="0" max="1" min="1" style="101" width="8.09"/>
    <col collapsed="false" customWidth="true" hidden="false" outlineLevel="0" max="2" min="2" style="101" width="21.7"/>
    <col collapsed="false" customWidth="true" hidden="false" outlineLevel="0" max="3" min="3" style="101" width="27.7"/>
    <col collapsed="false" customWidth="true" hidden="false" outlineLevel="0" max="4" min="4" style="101" width="21.5"/>
    <col collapsed="false" customWidth="true" hidden="false" outlineLevel="0" max="5" min="5" style="101" width="21.4"/>
    <col collapsed="false" customWidth="true" hidden="false" outlineLevel="0" max="6" min="6" style="101" width="17"/>
    <col collapsed="false" customWidth="true" hidden="false" outlineLevel="0" max="7" min="7" style="101" width="2.2"/>
    <col collapsed="false" customWidth="true" hidden="false" outlineLevel="0" max="8" min="8" style="101" width="6.51"/>
    <col collapsed="false" customWidth="true" hidden="false" outlineLevel="0" max="9" min="9" style="101" width="8.4"/>
    <col collapsed="false" customWidth="true" hidden="false" outlineLevel="0" max="10" min="10" style="101" width="31.09"/>
    <col collapsed="false" customWidth="true" hidden="false" outlineLevel="0" max="13" min="11" style="101" width="22.7"/>
    <col collapsed="false" customWidth="false" hidden="false" outlineLevel="0" max="14" min="14" style="101" width="8.5"/>
    <col collapsed="false" customWidth="true" hidden="true" outlineLevel="0" max="15" min="15" style="101" width="8.3"/>
    <col collapsed="false" customWidth="true" hidden="true" outlineLevel="0" max="16" min="16" style="101" width="8.2"/>
    <col collapsed="false" customWidth="true" hidden="true" outlineLevel="0" max="17" min="17" style="101" width="8.4"/>
    <col collapsed="false" customWidth="false" hidden="true" outlineLevel="0" max="24" min="18" style="101" width="8.5"/>
    <col collapsed="false" customWidth="true" hidden="true" outlineLevel="0" max="25" min="25" style="101" width="8.4"/>
    <col collapsed="false" customWidth="true" hidden="true" outlineLevel="0" max="26" min="26" style="101" width="8.3"/>
    <col collapsed="false" customWidth="false" hidden="true" outlineLevel="0" max="28" min="27" style="101" width="8.5"/>
    <col collapsed="false" customWidth="true" hidden="true" outlineLevel="0" max="29" min="29" style="101" width="8.2"/>
    <col collapsed="false" customWidth="false" hidden="true" outlineLevel="0" max="30" min="30" style="101" width="8.5"/>
    <col collapsed="false" customWidth="true" hidden="true" outlineLevel="0" max="32" min="31" style="101" width="8.4"/>
    <col collapsed="false" customWidth="false" hidden="true" outlineLevel="0" max="34" min="33" style="101" width="8.5"/>
    <col collapsed="false" customWidth="true" hidden="true" outlineLevel="0" max="35" min="35" style="101" width="10.6"/>
    <col collapsed="false" customWidth="false" hidden="true" outlineLevel="0" max="43" min="36" style="101" width="8.5"/>
    <col collapsed="false" customWidth="true" hidden="true" outlineLevel="0" max="46" min="44" style="101" width="8.4"/>
    <col collapsed="false" customWidth="false" hidden="true" outlineLevel="0" max="47" min="47" style="101" width="8.5"/>
    <col collapsed="false" customWidth="true" hidden="true" outlineLevel="0" max="48" min="48" style="101" width="8.4"/>
    <col collapsed="false" customWidth="false" hidden="true" outlineLevel="0" max="53" min="49" style="101" width="8.5"/>
    <col collapsed="false" customWidth="true" hidden="true" outlineLevel="0" max="54" min="54" style="101" width="8.7"/>
    <col collapsed="false" customWidth="false" hidden="true" outlineLevel="0" max="55" min="55" style="101" width="8.5"/>
    <col collapsed="false" customWidth="true" hidden="true" outlineLevel="0" max="56" min="56" style="101" width="8.3"/>
    <col collapsed="false" customWidth="false" hidden="true" outlineLevel="0" max="57" min="57" style="101" width="8.5"/>
    <col collapsed="false" customWidth="true" hidden="true" outlineLevel="0" max="60" min="58" style="101" width="8.4"/>
    <col collapsed="false" customWidth="false" hidden="true" outlineLevel="0" max="63" min="61" style="101" width="8.5"/>
    <col collapsed="false" customWidth="true" hidden="true" outlineLevel="0" max="64" min="64" style="101" width="17.4"/>
    <col collapsed="false" customWidth="false" hidden="true" outlineLevel="0" max="68" min="65" style="101" width="8.5"/>
    <col collapsed="false" customWidth="true" hidden="true" outlineLevel="0" max="70" min="69" style="101" width="8.4"/>
    <col collapsed="false" customWidth="false" hidden="true" outlineLevel="0" max="90" min="71" style="101" width="8.5"/>
    <col collapsed="false" customWidth="true" hidden="true" outlineLevel="0" max="91" min="91" style="101" width="11.5"/>
    <col collapsed="false" customWidth="false" hidden="true" outlineLevel="0" max="94" min="92" style="101" width="8.5"/>
    <col collapsed="false" customWidth="true" hidden="true" outlineLevel="0" max="95" min="95" style="101" width="8.4"/>
    <col collapsed="false" customWidth="true" hidden="true" outlineLevel="0" max="96" min="96" style="101" width="11.4"/>
    <col collapsed="false" customWidth="false" hidden="true" outlineLevel="0" max="97" min="97" style="101" width="8.5"/>
    <col collapsed="false" customWidth="true" hidden="true" outlineLevel="0" max="98" min="98" style="101" width="8.2"/>
    <col collapsed="false" customWidth="true" hidden="true" outlineLevel="0" max="100" min="99" style="101" width="8.4"/>
    <col collapsed="false" customWidth="false" hidden="true" outlineLevel="0" max="102" min="101" style="101" width="8.5"/>
    <col collapsed="false" customWidth="true" hidden="true" outlineLevel="0" max="103" min="103" style="101" width="8.9"/>
    <col collapsed="false" customWidth="false" hidden="true" outlineLevel="0" max="109" min="104" style="101" width="8.5"/>
    <col collapsed="false" customWidth="true" hidden="true" outlineLevel="0" max="111" min="110" style="101" width="8.4"/>
    <col collapsed="false" customWidth="false" hidden="true" outlineLevel="0" max="114" min="112" style="101" width="8.5"/>
    <col collapsed="false" customWidth="true" hidden="true" outlineLevel="0" max="116" min="115" style="101" width="8.4"/>
    <col collapsed="false" customWidth="false" hidden="true" outlineLevel="0" max="117" min="117" style="101" width="8.5"/>
    <col collapsed="false" customWidth="true" hidden="true" outlineLevel="0" max="118" min="118" style="101" width="8.4"/>
    <col collapsed="false" customWidth="true" hidden="true" outlineLevel="0" max="119" min="119" style="101" width="10.9"/>
    <col collapsed="false" customWidth="false" hidden="true" outlineLevel="0" max="124" min="120" style="101" width="8.5"/>
    <col collapsed="false" customWidth="true" hidden="true" outlineLevel="0" max="125" min="125" style="101" width="9"/>
    <col collapsed="false" customWidth="false" hidden="true" outlineLevel="0" max="128" min="126" style="101" width="8.5"/>
    <col collapsed="false" customWidth="true" hidden="true" outlineLevel="0" max="129" min="129" style="101" width="8.4"/>
    <col collapsed="false" customWidth="false" hidden="true" outlineLevel="0" max="133" min="130" style="101" width="8.5"/>
    <col collapsed="false" customWidth="true" hidden="true" outlineLevel="0" max="134" min="134" style="101" width="10.6"/>
    <col collapsed="false" customWidth="true" hidden="true" outlineLevel="0" max="135" min="135" style="101" width="8.4"/>
    <col collapsed="false" customWidth="false" hidden="true" outlineLevel="0" max="138" min="136" style="101" width="8.5"/>
    <col collapsed="false" customWidth="true" hidden="true" outlineLevel="0" max="140" min="139" style="101" width="8.4"/>
    <col collapsed="false" customWidth="false" hidden="true" outlineLevel="0" max="145" min="141" style="101" width="8.5"/>
    <col collapsed="false" customWidth="true" hidden="true" outlineLevel="0" max="146" min="146" style="101" width="8.4"/>
    <col collapsed="false" customWidth="false" hidden="true" outlineLevel="0" max="148" min="147" style="101" width="8.5"/>
    <col collapsed="false" customWidth="true" hidden="true" outlineLevel="0" max="149" min="149" style="101" width="8.4"/>
    <col collapsed="false" customWidth="false" hidden="true" outlineLevel="0" max="151" min="150" style="101" width="8.5"/>
    <col collapsed="false" customWidth="true" hidden="true" outlineLevel="0" max="152" min="152" style="101" width="8.3"/>
    <col collapsed="false" customWidth="false" hidden="true" outlineLevel="0" max="155" min="153" style="101" width="8.5"/>
    <col collapsed="false" customWidth="true" hidden="true" outlineLevel="0" max="156" min="156" style="101" width="8.4"/>
    <col collapsed="false" customWidth="true" hidden="true" outlineLevel="0" max="157" min="157" style="101" width="14.7"/>
    <col collapsed="false" customWidth="true" hidden="true" outlineLevel="0" max="158" min="158" style="101" width="8.4"/>
    <col collapsed="false" customWidth="true" hidden="true" outlineLevel="0" max="159" min="159" style="101" width="12.4"/>
    <col collapsed="false" customWidth="false" hidden="true" outlineLevel="0" max="161" min="160" style="101" width="8.5"/>
    <col collapsed="false" customWidth="true" hidden="true" outlineLevel="0" max="162" min="162" style="101" width="8.4"/>
    <col collapsed="false" customWidth="false" hidden="true" outlineLevel="0" max="164" min="163" style="101" width="8.5"/>
    <col collapsed="false" customWidth="true" hidden="true" outlineLevel="0" max="165" min="165" style="101" width="8"/>
    <col collapsed="false" customWidth="false" hidden="true" outlineLevel="0" max="166" min="166" style="101" width="8.5"/>
    <col collapsed="false" customWidth="true" hidden="true" outlineLevel="0" max="167" min="167" style="101" width="8.4"/>
    <col collapsed="false" customWidth="false" hidden="true" outlineLevel="0" max="169" min="168" style="101" width="8.5"/>
    <col collapsed="false" customWidth="true" hidden="true" outlineLevel="0" max="170" min="170" style="101" width="9"/>
    <col collapsed="false" customWidth="true" hidden="true" outlineLevel="0" max="171" min="171" style="101" width="8.2"/>
    <col collapsed="false" customWidth="true" hidden="true" outlineLevel="0" max="172" min="172" style="101" width="8.4"/>
    <col collapsed="false" customWidth="false" hidden="true" outlineLevel="0" max="173" min="173" style="101" width="8.5"/>
    <col collapsed="false" customWidth="true" hidden="true" outlineLevel="0" max="174" min="174" style="101" width="8.4"/>
    <col collapsed="false" customWidth="false" hidden="true" outlineLevel="0" max="175" min="175" style="101" width="8.5"/>
    <col collapsed="false" customWidth="true" hidden="true" outlineLevel="0" max="176" min="176" style="101" width="8.4"/>
    <col collapsed="false" customWidth="true" hidden="true" outlineLevel="0" max="177" min="177" style="101" width="8.3"/>
    <col collapsed="false" customWidth="false" hidden="true" outlineLevel="0" max="179" min="178" style="101" width="8.5"/>
    <col collapsed="false" customWidth="true" hidden="true" outlineLevel="0" max="180" min="180" style="101" width="8.2"/>
    <col collapsed="false" customWidth="true" hidden="true" outlineLevel="0" max="181" min="181" style="101" width="8.4"/>
    <col collapsed="false" customWidth="false" hidden="true" outlineLevel="0" max="183" min="182" style="101" width="8.5"/>
    <col collapsed="false" customWidth="true" hidden="true" outlineLevel="0" max="184" min="184" style="101" width="11.9"/>
    <col collapsed="false" customWidth="true" hidden="true" outlineLevel="0" max="185" min="185" style="101" width="9.1"/>
    <col collapsed="false" customWidth="false" hidden="true" outlineLevel="0" max="186" min="186" style="101" width="8.5"/>
    <col collapsed="false" customWidth="true" hidden="true" outlineLevel="0" max="187" min="187" style="101" width="10.2"/>
    <col collapsed="false" customWidth="false" hidden="true" outlineLevel="0" max="190" min="188" style="101" width="8.5"/>
    <col collapsed="false" customWidth="true" hidden="true" outlineLevel="0" max="191" min="191" style="101" width="8.4"/>
    <col collapsed="false" customWidth="false" hidden="true" outlineLevel="0" max="192" min="192" style="101" width="8.5"/>
    <col collapsed="false" customWidth="true" hidden="true" outlineLevel="0" max="193" min="193" style="101" width="8.2"/>
    <col collapsed="false" customWidth="true" hidden="true" outlineLevel="0" max="194" min="194" style="101" width="8.4"/>
    <col collapsed="false" customWidth="false" hidden="true" outlineLevel="0" max="198" min="195" style="101" width="8.5"/>
    <col collapsed="false" customWidth="true" hidden="true" outlineLevel="0" max="201" min="199" style="101" width="8.4"/>
    <col collapsed="false" customWidth="false" hidden="true" outlineLevel="0" max="202" min="202" style="101" width="8.5"/>
    <col collapsed="false" customWidth="true" hidden="true" outlineLevel="0" max="206" min="203" style="101" width="8.4"/>
    <col collapsed="false" customWidth="false" hidden="true" outlineLevel="0" max="209" min="207" style="101" width="8.5"/>
    <col collapsed="false" customWidth="true" hidden="true" outlineLevel="0" max="210" min="210" style="101" width="8.09"/>
    <col collapsed="false" customWidth="false" hidden="true" outlineLevel="0" max="211" min="211" style="101" width="8.5"/>
    <col collapsed="false" customWidth="true" hidden="true" outlineLevel="0" max="213" min="212" style="101" width="8.4"/>
    <col collapsed="false" customWidth="true" hidden="true" outlineLevel="0" max="214" min="214" style="101" width="7.9"/>
    <col collapsed="false" customWidth="false" hidden="true" outlineLevel="0" max="216" min="215" style="101" width="8.5"/>
    <col collapsed="false" customWidth="true" hidden="true" outlineLevel="0" max="217" min="217" style="101" width="8.4"/>
    <col collapsed="false" customWidth="false" hidden="true" outlineLevel="0" max="219" min="218" style="101" width="8.5"/>
    <col collapsed="false" customWidth="true" hidden="true" outlineLevel="0" max="220" min="220" style="101" width="8.4"/>
    <col collapsed="false" customWidth="true" hidden="true" outlineLevel="0" max="221" min="221" style="101" width="8.2"/>
    <col collapsed="false" customWidth="true" hidden="true" outlineLevel="0" max="222" min="222" style="101" width="8.4"/>
    <col collapsed="false" customWidth="false" hidden="true" outlineLevel="0" max="224" min="223" style="101" width="8.5"/>
    <col collapsed="false" customWidth="true" hidden="true" outlineLevel="0" max="225" min="225" style="101" width="8.4"/>
    <col collapsed="false" customWidth="false" hidden="true" outlineLevel="0" max="227" min="226" style="101" width="8.5"/>
    <col collapsed="false" customWidth="true" hidden="true" outlineLevel="0" max="231" min="228" style="101" width="8.4"/>
    <col collapsed="false" customWidth="false" hidden="true" outlineLevel="0" max="233" min="232" style="101" width="8.5"/>
    <col collapsed="false" customWidth="true" hidden="true" outlineLevel="0" max="234" min="234" style="101" width="8.4"/>
    <col collapsed="false" customWidth="true" hidden="true" outlineLevel="0" max="235" min="235" style="101" width="8.3"/>
    <col collapsed="false" customWidth="true" hidden="true" outlineLevel="0" max="236" min="236" style="101" width="8.4"/>
    <col collapsed="false" customWidth="false" hidden="true" outlineLevel="0" max="237" min="237" style="101" width="8.5"/>
    <col collapsed="false" customWidth="true" hidden="true" outlineLevel="0" max="238" min="238" style="101" width="8.3"/>
    <col collapsed="false" customWidth="true" hidden="true" outlineLevel="0" max="242" min="239" style="101" width="8.4"/>
    <col collapsed="false" customWidth="true" hidden="true" outlineLevel="0" max="243" min="243" style="101" width="10.09"/>
    <col collapsed="false" customWidth="true" hidden="true" outlineLevel="0" max="244" min="244" style="101" width="8.4"/>
    <col collapsed="false" customWidth="false" hidden="true" outlineLevel="0" max="249" min="245" style="101" width="8.5"/>
    <col collapsed="false" customWidth="true" hidden="true" outlineLevel="0" max="250" min="250" style="101" width="8.4"/>
    <col collapsed="false" customWidth="false" hidden="true" outlineLevel="0" max="254" min="251" style="101" width="8.5"/>
    <col collapsed="false" customWidth="true" hidden="true" outlineLevel="0" max="256" min="255" style="101" width="8.4"/>
    <col collapsed="false" customWidth="false" hidden="true" outlineLevel="0" max="259" min="257" style="101" width="8.5"/>
    <col collapsed="false" customWidth="true" hidden="true" outlineLevel="0" max="261" min="260" style="101" width="8.4"/>
    <col collapsed="false" customWidth="false" hidden="true" outlineLevel="0" max="263" min="262" style="101" width="8.5"/>
    <col collapsed="false" customWidth="true" hidden="true" outlineLevel="0" max="264" min="264" style="101" width="8.3"/>
    <col collapsed="false" customWidth="false" hidden="true" outlineLevel="0" max="265" min="265" style="101" width="8.5"/>
    <col collapsed="false" customWidth="true" hidden="true" outlineLevel="0" max="266" min="266" style="101" width="8.4"/>
    <col collapsed="false" customWidth="false" hidden="true" outlineLevel="0" max="267" min="267" style="101" width="8.5"/>
    <col collapsed="false" customWidth="true" hidden="true" outlineLevel="0" max="268" min="268" style="101" width="8.9"/>
    <col collapsed="false" customWidth="true" hidden="true" outlineLevel="0" max="269" min="269" style="101" width="10.4"/>
    <col collapsed="false" customWidth="false" hidden="true" outlineLevel="0" max="270" min="270" style="101" width="8.5"/>
    <col collapsed="false" customWidth="true" hidden="true" outlineLevel="0" max="273" min="271" style="101" width="8.4"/>
    <col collapsed="false" customWidth="false" hidden="true" outlineLevel="0" max="276" min="274" style="101" width="8.5"/>
    <col collapsed="false" customWidth="true" hidden="true" outlineLevel="0" max="277" min="277" style="101" width="8.3"/>
    <col collapsed="false" customWidth="true" hidden="true" outlineLevel="0" max="278" min="278" style="101" width="8.4"/>
    <col collapsed="false" customWidth="false" hidden="true" outlineLevel="0" max="282" min="279" style="101" width="8.5"/>
    <col collapsed="false" customWidth="true" hidden="true" outlineLevel="0" max="283" min="283" style="101" width="8.3"/>
    <col collapsed="false" customWidth="true" hidden="true" outlineLevel="0" max="284" min="284" style="101" width="8.4"/>
    <col collapsed="false" customWidth="true" hidden="true" outlineLevel="0" max="286" min="285" style="101" width="8.3"/>
    <col collapsed="false" customWidth="true" hidden="true" outlineLevel="0" max="288" min="287" style="101" width="8.4"/>
    <col collapsed="false" customWidth="false" hidden="true" outlineLevel="0" max="295" min="289" style="101" width="8.5"/>
    <col collapsed="false" customWidth="true" hidden="true" outlineLevel="0" max="296" min="296" style="101" width="8.09"/>
    <col collapsed="false" customWidth="false" hidden="true" outlineLevel="0" max="297" min="297" style="101" width="8.5"/>
    <col collapsed="false" customWidth="true" hidden="true" outlineLevel="0" max="298" min="298" style="101" width="7.9"/>
    <col collapsed="false" customWidth="false" hidden="true" outlineLevel="0" max="300" min="299" style="101" width="8.5"/>
    <col collapsed="false" customWidth="true" hidden="true" outlineLevel="0" max="304" min="301" style="101" width="8.3"/>
    <col collapsed="false" customWidth="true" hidden="true" outlineLevel="0" max="308" min="305" style="101" width="8.2"/>
    <col collapsed="false" customWidth="true" hidden="true" outlineLevel="0" max="309" min="309" style="101" width="7.6"/>
    <col collapsed="false" customWidth="true" hidden="true" outlineLevel="0" max="310" min="310" style="101" width="8.4"/>
    <col collapsed="false" customWidth="true" hidden="true" outlineLevel="0" max="311" min="311" style="101" width="8.3"/>
    <col collapsed="false" customWidth="true" hidden="true" outlineLevel="0" max="313" min="312" style="101" width="8.4"/>
    <col collapsed="false" customWidth="false" hidden="true" outlineLevel="0" max="314" min="314" style="101" width="8.5"/>
    <col collapsed="false" customWidth="true" hidden="true" outlineLevel="0" max="315" min="315" style="101" width="8.4"/>
    <col collapsed="false" customWidth="false" hidden="true" outlineLevel="0" max="316" min="316" style="101" width="8.5"/>
    <col collapsed="false" customWidth="true" hidden="true" outlineLevel="0" max="318" min="317" style="101" width="8.4"/>
    <col collapsed="false" customWidth="false" hidden="true" outlineLevel="0" max="319" min="319" style="101" width="8.5"/>
    <col collapsed="false" customWidth="true" hidden="true" outlineLevel="0" max="321" min="320" style="101" width="8.4"/>
    <col collapsed="false" customWidth="false" hidden="true" outlineLevel="0" max="324" min="322" style="101" width="8.5"/>
    <col collapsed="false" customWidth="true" hidden="true" outlineLevel="0" max="325" min="325" style="101" width="8.4"/>
    <col collapsed="false" customWidth="false" hidden="true" outlineLevel="0" max="329" min="326" style="101" width="8.5"/>
    <col collapsed="false" customWidth="true" hidden="true" outlineLevel="0" max="330" min="330" style="101" width="9.4"/>
    <col collapsed="false" customWidth="false" hidden="true" outlineLevel="0" max="334" min="331" style="101" width="8.5"/>
    <col collapsed="false" customWidth="true" hidden="true" outlineLevel="0" max="335" min="335" style="101" width="8.4"/>
    <col collapsed="false" customWidth="false" hidden="true" outlineLevel="0" max="336" min="336" style="101" width="8.5"/>
    <col collapsed="false" customWidth="true" hidden="true" outlineLevel="0" max="337" min="337" style="101" width="8.4"/>
    <col collapsed="false" customWidth="true" hidden="true" outlineLevel="0" max="338" min="338" style="101" width="6.51"/>
    <col collapsed="false" customWidth="false" hidden="true" outlineLevel="0" max="16384" min="339" style="101" width="8.5"/>
  </cols>
  <sheetData>
    <row r="1" customFormat="false" ht="15" hidden="true" customHeight="false" outlineLevel="0" collapsed="false">
      <c r="A1" s="218" t="s">
        <v>455</v>
      </c>
    </row>
    <row r="2" customFormat="false" ht="36" hidden="false" customHeight="true" outlineLevel="0" collapsed="false">
      <c r="A2" s="102" t="s">
        <v>456</v>
      </c>
      <c r="B2" s="102"/>
      <c r="C2" s="102"/>
      <c r="D2" s="102"/>
      <c r="E2" s="102"/>
      <c r="F2" s="102"/>
      <c r="G2" s="102"/>
      <c r="H2" s="102"/>
      <c r="I2" s="219"/>
      <c r="J2" s="219" t="str">
        <f aca="false">'Auto Responses'!$A$36</f>
        <v>Version 4.1.2</v>
      </c>
      <c r="K2" s="219"/>
      <c r="L2" s="219"/>
      <c r="M2" s="219"/>
    </row>
    <row r="3" customFormat="false" ht="22.5" hidden="false" customHeight="true" outlineLevel="0" collapsed="false">
      <c r="A3" s="106"/>
      <c r="B3" s="106"/>
      <c r="C3" s="106"/>
      <c r="D3" s="106"/>
      <c r="E3" s="106"/>
      <c r="F3" s="106"/>
      <c r="G3" s="106"/>
      <c r="H3" s="106"/>
      <c r="I3" s="106"/>
      <c r="J3" s="106"/>
      <c r="K3" s="106"/>
      <c r="L3" s="106"/>
      <c r="M3" s="106"/>
    </row>
    <row r="4" customFormat="false" ht="36" hidden="false" customHeight="true" outlineLevel="0" collapsed="false">
      <c r="A4" s="107" t="s">
        <v>457</v>
      </c>
      <c r="B4" s="108"/>
      <c r="C4" s="108"/>
      <c r="D4" s="108"/>
      <c r="E4" s="108"/>
      <c r="F4" s="108"/>
      <c r="G4" s="108"/>
      <c r="H4" s="108"/>
      <c r="I4" s="108"/>
      <c r="J4" s="108"/>
      <c r="K4" s="108"/>
      <c r="L4" s="108"/>
      <c r="M4" s="108"/>
    </row>
    <row r="5" customFormat="false" ht="19.5" hidden="false" customHeight="true" outlineLevel="0" collapsed="false">
      <c r="A5" s="220" t="str">
        <f aca="false">HLOOKUP($A$4,'Auto Responses'!$H$2:$H$5,2,0)&amp;""</f>
        <v>1. The scorecard below reflects those questions marked as "Critical Importance" or those where the "Non-Negotiable" box was checked. </v>
      </c>
      <c r="B5" s="221"/>
      <c r="C5" s="221"/>
      <c r="D5" s="221"/>
      <c r="E5" s="221"/>
      <c r="F5" s="221"/>
      <c r="G5" s="221"/>
      <c r="H5" s="221"/>
      <c r="I5" s="221"/>
      <c r="J5" s="112"/>
      <c r="K5" s="112"/>
      <c r="L5" s="112"/>
      <c r="M5" s="112"/>
    </row>
    <row r="6" s="223" customFormat="true" ht="19.5" hidden="false" customHeight="true" outlineLevel="0" collapsed="false">
      <c r="A6" s="220" t="str">
        <f aca="false">HLOOKUP($A$4,'Auto Responses'!$H$2:$H$5,3,0)&amp;""</f>
        <v>2. Use these condensed, aggregated views to review those questions that pose the highest risk. </v>
      </c>
      <c r="B6" s="220"/>
      <c r="C6" s="220"/>
      <c r="D6" s="220"/>
      <c r="E6" s="220"/>
      <c r="F6" s="220"/>
      <c r="G6" s="220"/>
      <c r="H6" s="220"/>
      <c r="I6" s="220"/>
      <c r="J6" s="222"/>
      <c r="K6" s="222"/>
      <c r="L6" s="222"/>
      <c r="M6" s="222"/>
    </row>
    <row r="7" customFormat="false" ht="19.5" hidden="false" customHeight="true" outlineLevel="0" collapsed="false">
      <c r="A7" s="220" t="str">
        <f aca="false">HLOOKUP($A$4,'Auto Responses'!$H$2:$H$5,4,0)&amp;""</f>
        <v>3. Changes cannot be made in this sheet. Please make changes in the appropriate "Evaluation" tab.</v>
      </c>
      <c r="B7" s="221"/>
      <c r="C7" s="221"/>
      <c r="D7" s="221"/>
      <c r="E7" s="221"/>
      <c r="F7" s="221"/>
      <c r="G7" s="221"/>
      <c r="H7" s="221"/>
      <c r="I7" s="221"/>
      <c r="J7" s="112"/>
      <c r="K7" s="112"/>
      <c r="L7" s="112"/>
      <c r="M7" s="112"/>
    </row>
    <row r="8" customFormat="false" ht="19.5" hidden="false" customHeight="true" outlineLevel="0" collapsed="false">
      <c r="A8" s="29" t="s">
        <v>458</v>
      </c>
      <c r="B8" s="221"/>
      <c r="C8" s="221"/>
      <c r="D8" s="221"/>
      <c r="E8" s="221"/>
      <c r="F8" s="221"/>
      <c r="G8" s="221"/>
      <c r="H8" s="221"/>
      <c r="I8" s="221"/>
      <c r="J8" s="112"/>
      <c r="K8" s="112"/>
      <c r="L8" s="112"/>
      <c r="M8" s="112"/>
    </row>
    <row r="9" s="121" customFormat="true" ht="25.5" hidden="false" customHeight="true" outlineLevel="0" collapsed="false">
      <c r="A9" s="113" t="str">
        <f aca="false">'START HERE'!$B$13</f>
        <v>Solution Provider Name</v>
      </c>
      <c r="B9" s="114"/>
      <c r="C9" s="115" t="str">
        <f aca="false">VLOOKUP($A9,'START HERE'!$B$13:$C$21,2,0)&amp;""</f>
        <v>QGIS.org</v>
      </c>
      <c r="D9" s="116"/>
      <c r="E9" s="224"/>
      <c r="F9" s="119"/>
      <c r="G9" s="119"/>
      <c r="H9" s="120"/>
      <c r="I9" s="119"/>
      <c r="J9" s="119"/>
    </row>
    <row r="10" s="121" customFormat="true" ht="25.5" hidden="false" customHeight="true" outlineLevel="0" collapsed="false">
      <c r="A10" s="122" t="str">
        <f aca="false">'START HERE'!$B$16</f>
        <v>Solution Provider Contact Name</v>
      </c>
      <c r="B10" s="123"/>
      <c r="C10" s="124" t="str">
        <f aca="false">VLOOKUP($A10,'START HERE'!$B$13:$C$21,2,0)&amp;""</f>
        <v>Program Steering Commitee (PSC)</v>
      </c>
      <c r="D10" s="125"/>
      <c r="E10" s="225"/>
      <c r="F10" s="119"/>
      <c r="G10" s="119"/>
      <c r="H10" s="120"/>
      <c r="I10" s="119"/>
      <c r="J10" s="119"/>
    </row>
    <row r="11" s="121" customFormat="true" ht="25.5" hidden="false" customHeight="true" outlineLevel="0" collapsed="false">
      <c r="A11" s="122" t="str">
        <f aca="false">'START HERE'!$B$17</f>
        <v>Solution Provider Contact Title</v>
      </c>
      <c r="B11" s="123"/>
      <c r="C11" s="124" t="str">
        <f aca="false">VLOOKUP($A11,'START HERE'!$B$13:$C$21,2,0)&amp;""</f>
        <v>PSC</v>
      </c>
      <c r="D11" s="125"/>
      <c r="E11" s="225"/>
      <c r="F11" s="119"/>
      <c r="G11" s="119"/>
      <c r="H11" s="120"/>
      <c r="I11" s="119"/>
      <c r="J11" s="119"/>
    </row>
    <row r="12" s="121" customFormat="true" ht="25.5" hidden="false" customHeight="true" outlineLevel="0" collapsed="false">
      <c r="A12" s="122" t="str">
        <f aca="false">'START HERE'!$B$18</f>
        <v>Solution Provider Contact Email</v>
      </c>
      <c r="B12" s="123"/>
      <c r="C12" s="124" t="str">
        <f aca="false">VLOOKUP($A12,'START HERE'!$B$13:$C$21,2,0)&amp;""</f>
        <v>qgis-psc@lists.osgeo.org.</v>
      </c>
      <c r="D12" s="125"/>
      <c r="E12" s="225"/>
      <c r="F12" s="226"/>
    </row>
    <row r="13" s="121" customFormat="true" ht="25.5" hidden="false" customHeight="true" outlineLevel="0" collapsed="false">
      <c r="A13" s="122" t="str">
        <f aca="false">'START HERE'!$B$14</f>
        <v>Solution Name</v>
      </c>
      <c r="B13" s="123"/>
      <c r="C13" s="124" t="str">
        <f aca="false">VLOOKUP($A13,'START HERE'!$B$13:$C$21,2,0)&amp;""</f>
        <v>QGIS.org</v>
      </c>
      <c r="D13" s="125"/>
      <c r="E13" s="225"/>
      <c r="F13" s="226"/>
    </row>
    <row r="14" s="121" customFormat="true" ht="25.5" hidden="false" customHeight="true" outlineLevel="0" collapsed="false">
      <c r="A14" s="122" t="str">
        <f aca="false">'START HERE'!$B$15</f>
        <v>Solution Description</v>
      </c>
      <c r="B14" s="123"/>
      <c r="C14" s="124" t="str">
        <f aca="false">VLOOKUP($A14,'START HERE'!$B$13:$C$21,2,0)&amp;""</f>
        <v>QGIS is a free and open source Geographic information system, running on Windows, MacOS, Linux and with solution for mobile OS.</v>
      </c>
      <c r="D14" s="125"/>
      <c r="E14" s="225"/>
      <c r="F14" s="226"/>
    </row>
    <row r="15" s="121" customFormat="true" ht="25.5" hidden="false" customHeight="true" outlineLevel="0" collapsed="false">
      <c r="A15" s="128" t="s">
        <v>414</v>
      </c>
      <c r="B15" s="129"/>
      <c r="C15" s="130" t="n">
        <f aca="false">'START HERE'!$C$3</f>
        <v>0</v>
      </c>
      <c r="D15" s="131"/>
      <c r="E15" s="227"/>
      <c r="F15" s="226"/>
    </row>
    <row r="16" customFormat="false" ht="15" hidden="false" customHeight="false" outlineLevel="0" collapsed="false">
      <c r="A16" s="228" t="s">
        <v>459</v>
      </c>
      <c r="C16" s="229"/>
    </row>
    <row r="17" s="136" customFormat="true" ht="24" hidden="false" customHeight="true" outlineLevel="0" collapsed="false">
      <c r="A17" s="135"/>
      <c r="B17" s="135"/>
      <c r="C17" s="135"/>
    </row>
    <row r="18" customFormat="false" ht="36.75" hidden="false" customHeight="true" outlineLevel="0" collapsed="false">
      <c r="B18" s="139" t="s">
        <v>416</v>
      </c>
      <c r="C18" s="140" t="s">
        <v>460</v>
      </c>
      <c r="D18" s="141" t="s">
        <v>418</v>
      </c>
      <c r="E18" s="142" t="s">
        <v>419</v>
      </c>
      <c r="F18" s="230" t="s">
        <v>420</v>
      </c>
    </row>
    <row r="19" customFormat="false" ht="36.75" hidden="false" customHeight="true" outlineLevel="0" collapsed="false">
      <c r="A19" s="137"/>
      <c r="B19" s="231" t="s">
        <v>461</v>
      </c>
      <c r="C19" s="232" t="n">
        <f aca="false">SUM('(backend scoring)'!$Q$3:$Q$333)</f>
        <v>0</v>
      </c>
      <c r="D19" s="233" t="n">
        <f aca="false">SUMIF('(backend scoring)'!$Q$3:$Q$333,1,'(backend scoring)'!$O$3:$O$333)</f>
        <v>0</v>
      </c>
      <c r="E19" s="233" t="n">
        <f aca="false">SUMIF('(backend scoring)'!$Q$3:$Q$333,1,'(backend scoring)'!$P$3:$P$333)</f>
        <v>0</v>
      </c>
      <c r="F19" s="234" t="str">
        <f aca="false">IF(D19=0,"N/A",E19/D19)</f>
        <v>N/A</v>
      </c>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c r="GA19" s="137"/>
      <c r="GB19" s="137"/>
      <c r="GC19" s="137"/>
      <c r="GD19" s="137"/>
      <c r="GE19" s="137"/>
      <c r="GF19" s="137"/>
      <c r="GG19" s="137"/>
      <c r="GH19" s="137"/>
      <c r="GI19" s="137"/>
      <c r="GJ19" s="137"/>
      <c r="GK19" s="137"/>
      <c r="GL19" s="137"/>
      <c r="GM19" s="137"/>
      <c r="GN19" s="137"/>
      <c r="GO19" s="137"/>
      <c r="GP19" s="137"/>
      <c r="GQ19" s="137"/>
      <c r="GR19" s="137"/>
      <c r="GS19" s="137"/>
      <c r="GT19" s="137"/>
      <c r="GU19" s="137"/>
      <c r="GV19" s="137"/>
      <c r="GW19" s="137"/>
      <c r="GX19" s="137"/>
      <c r="GY19" s="137"/>
      <c r="GZ19" s="137"/>
      <c r="HA19" s="137"/>
      <c r="HB19" s="137"/>
      <c r="HC19" s="137"/>
      <c r="HD19" s="137"/>
      <c r="HE19" s="137"/>
      <c r="HF19" s="137"/>
      <c r="HG19" s="137"/>
      <c r="HH19" s="137"/>
      <c r="HI19" s="137"/>
      <c r="HJ19" s="137"/>
      <c r="HK19" s="137"/>
      <c r="HL19" s="137"/>
      <c r="HM19" s="137"/>
      <c r="HN19" s="137"/>
      <c r="HO19" s="137"/>
      <c r="HP19" s="137"/>
      <c r="HQ19" s="137"/>
      <c r="HR19" s="137"/>
      <c r="HS19" s="137"/>
      <c r="HT19" s="137"/>
      <c r="HU19" s="137"/>
      <c r="HV19" s="137"/>
      <c r="HW19" s="137"/>
      <c r="HX19" s="137"/>
      <c r="HY19" s="137"/>
      <c r="HZ19" s="137"/>
      <c r="IA19" s="137"/>
      <c r="IB19" s="137"/>
      <c r="IC19" s="137"/>
      <c r="ID19" s="137"/>
      <c r="IE19" s="137"/>
      <c r="IF19" s="137"/>
      <c r="IG19" s="137"/>
      <c r="IH19" s="137"/>
      <c r="II19" s="137"/>
      <c r="IJ19" s="137"/>
      <c r="IK19" s="137"/>
      <c r="IL19" s="137"/>
      <c r="IM19" s="137"/>
      <c r="IN19" s="137"/>
      <c r="IO19" s="137"/>
      <c r="IP19" s="137"/>
      <c r="IQ19" s="137"/>
      <c r="IR19" s="137"/>
      <c r="IS19" s="137"/>
      <c r="IT19" s="137"/>
      <c r="IU19" s="137"/>
      <c r="IV19" s="137"/>
      <c r="IW19" s="137"/>
      <c r="IX19" s="137"/>
      <c r="IY19" s="137"/>
      <c r="IZ19" s="137"/>
      <c r="JA19" s="137"/>
      <c r="JB19" s="137"/>
      <c r="JC19" s="137"/>
      <c r="JD19" s="137"/>
      <c r="JE19" s="137"/>
      <c r="JF19" s="137"/>
      <c r="JG19" s="137"/>
      <c r="JH19" s="137"/>
      <c r="JI19" s="137"/>
      <c r="JJ19" s="137"/>
      <c r="JK19" s="137"/>
      <c r="JL19" s="137"/>
      <c r="JM19" s="137"/>
      <c r="JN19" s="137"/>
      <c r="JO19" s="137"/>
      <c r="JP19" s="137"/>
      <c r="JQ19" s="137"/>
      <c r="JR19" s="137"/>
      <c r="JS19" s="137"/>
      <c r="JT19" s="137"/>
      <c r="JU19" s="137"/>
      <c r="JV19" s="137"/>
      <c r="JW19" s="137"/>
      <c r="JX19" s="137"/>
      <c r="JY19" s="137"/>
      <c r="JZ19" s="137"/>
      <c r="KA19" s="137"/>
      <c r="KB19" s="137"/>
      <c r="KC19" s="137"/>
      <c r="KD19" s="137"/>
      <c r="KE19" s="137"/>
      <c r="KF19" s="137"/>
      <c r="KG19" s="137"/>
      <c r="KH19" s="137"/>
      <c r="KI19" s="137"/>
      <c r="KJ19" s="137"/>
      <c r="KK19" s="137"/>
      <c r="KL19" s="137"/>
      <c r="KM19" s="137"/>
      <c r="KN19" s="137"/>
      <c r="KO19" s="137"/>
      <c r="KP19" s="137"/>
      <c r="KQ19" s="137"/>
      <c r="KR19" s="137"/>
      <c r="KS19" s="137"/>
      <c r="KT19" s="137"/>
      <c r="KU19" s="137"/>
      <c r="KV19" s="137"/>
      <c r="KW19" s="137"/>
      <c r="KX19" s="137"/>
      <c r="KY19" s="137"/>
      <c r="KZ19" s="137"/>
      <c r="LA19" s="137"/>
      <c r="LB19" s="137"/>
      <c r="LC19" s="137"/>
      <c r="LD19" s="137"/>
      <c r="LE19" s="137"/>
      <c r="LF19" s="137"/>
      <c r="LG19" s="137"/>
      <c r="LH19" s="137"/>
      <c r="LI19" s="137"/>
      <c r="LJ19" s="137"/>
      <c r="LK19" s="137"/>
      <c r="LL19" s="137"/>
      <c r="LM19" s="137"/>
      <c r="LN19" s="137"/>
      <c r="LO19" s="137"/>
      <c r="LP19" s="137"/>
      <c r="LQ19" s="137"/>
      <c r="LR19" s="137"/>
      <c r="LS19" s="137"/>
      <c r="LT19" s="137"/>
      <c r="LU19" s="137"/>
      <c r="LV19" s="137"/>
      <c r="LW19" s="137"/>
      <c r="LX19" s="137"/>
      <c r="LY19" s="137"/>
      <c r="LZ19" s="137"/>
    </row>
    <row r="20" customFormat="false" ht="36.75" hidden="false" customHeight="true" outlineLevel="0" collapsed="false">
      <c r="A20" s="137"/>
      <c r="B20" s="231" t="s">
        <v>462</v>
      </c>
      <c r="C20" s="232" t="n">
        <f aca="false">SUM('(backend scoring)'!$T$3:$T$333)</f>
        <v>88</v>
      </c>
      <c r="D20" s="233" t="n">
        <f aca="false">SUMIF('(backend scoring)'!$N$3:$N$333,1,'(backend scoring)'!$O$3:$O$333)</f>
        <v>700</v>
      </c>
      <c r="E20" s="233" t="n">
        <f aca="false">SUMIF('(backend scoring)'!$N$3:$N$333,1,'(backend scoring)'!$P$3:$P$333)</f>
        <v>140</v>
      </c>
      <c r="F20" s="234" t="n">
        <f aca="false">IF(D20=0,"N/A",E20/D20)</f>
        <v>0.2</v>
      </c>
      <c r="G20" s="51" t="s">
        <v>37</v>
      </c>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c r="EN20" s="137"/>
      <c r="EO20" s="137"/>
      <c r="EP20" s="137"/>
      <c r="EQ20" s="137"/>
      <c r="ER20" s="137"/>
      <c r="ES20" s="137"/>
      <c r="ET20" s="137"/>
      <c r="EU20" s="137"/>
      <c r="EV20" s="137"/>
      <c r="EW20" s="137"/>
      <c r="EX20" s="137"/>
      <c r="EY20" s="137"/>
      <c r="EZ20" s="137"/>
      <c r="FA20" s="137"/>
      <c r="FB20" s="137"/>
      <c r="FC20" s="137"/>
      <c r="FD20" s="137"/>
      <c r="FE20" s="137"/>
      <c r="FF20" s="137"/>
      <c r="FG20" s="137"/>
      <c r="FH20" s="137"/>
      <c r="FI20" s="137"/>
      <c r="FJ20" s="137"/>
      <c r="FK20" s="137"/>
      <c r="FL20" s="137"/>
      <c r="FM20" s="137"/>
      <c r="FN20" s="137"/>
      <c r="FO20" s="137"/>
      <c r="FP20" s="137"/>
      <c r="FQ20" s="137"/>
      <c r="FR20" s="137"/>
      <c r="FS20" s="137"/>
      <c r="FT20" s="137"/>
      <c r="FU20" s="137"/>
      <c r="FV20" s="137"/>
      <c r="FW20" s="137"/>
      <c r="FX20" s="137"/>
      <c r="FY20" s="137"/>
      <c r="FZ20" s="137"/>
      <c r="GA20" s="137"/>
      <c r="GB20" s="137"/>
      <c r="GC20" s="137"/>
      <c r="GD20" s="137"/>
      <c r="GE20" s="137"/>
      <c r="GF20" s="137"/>
      <c r="GG20" s="137"/>
      <c r="GH20" s="137"/>
      <c r="GI20" s="137"/>
      <c r="GJ20" s="137"/>
      <c r="GK20" s="137"/>
      <c r="GL20" s="137"/>
      <c r="GM20" s="137"/>
      <c r="GN20" s="137"/>
      <c r="GO20" s="137"/>
      <c r="GP20" s="137"/>
      <c r="GQ20" s="137"/>
      <c r="GR20" s="137"/>
      <c r="GS20" s="137"/>
      <c r="GT20" s="137"/>
      <c r="GU20" s="137"/>
      <c r="GV20" s="137"/>
      <c r="GW20" s="137"/>
      <c r="GX20" s="137"/>
      <c r="GY20" s="137"/>
      <c r="GZ20" s="137"/>
      <c r="HA20" s="137"/>
      <c r="HB20" s="137"/>
      <c r="HC20" s="137"/>
      <c r="HD20" s="137"/>
      <c r="HE20" s="137"/>
      <c r="HF20" s="137"/>
      <c r="HG20" s="137"/>
      <c r="HH20" s="137"/>
      <c r="HI20" s="137"/>
      <c r="HJ20" s="137"/>
      <c r="HK20" s="137"/>
      <c r="HL20" s="137"/>
      <c r="HM20" s="137"/>
      <c r="HN20" s="137"/>
      <c r="HO20" s="137"/>
      <c r="HP20" s="137"/>
      <c r="HQ20" s="137"/>
      <c r="HR20" s="137"/>
      <c r="HS20" s="137"/>
      <c r="HT20" s="137"/>
      <c r="HU20" s="137"/>
      <c r="HV20" s="137"/>
      <c r="HW20" s="137"/>
      <c r="HX20" s="137"/>
      <c r="HY20" s="137"/>
      <c r="HZ20" s="137"/>
      <c r="IA20" s="137"/>
      <c r="IB20" s="137"/>
      <c r="IC20" s="137"/>
      <c r="ID20" s="137"/>
      <c r="IE20" s="137"/>
      <c r="IF20" s="137"/>
      <c r="IG20" s="137"/>
      <c r="IH20" s="137"/>
      <c r="II20" s="137"/>
      <c r="IJ20" s="137"/>
      <c r="IK20" s="137"/>
      <c r="IL20" s="137"/>
      <c r="IM20" s="137"/>
      <c r="IN20" s="137"/>
      <c r="IO20" s="137"/>
      <c r="IP20" s="137"/>
      <c r="IQ20" s="137"/>
      <c r="IR20" s="137"/>
      <c r="IS20" s="137"/>
      <c r="IT20" s="137"/>
      <c r="IU20" s="137"/>
      <c r="IV20" s="137"/>
      <c r="IW20" s="137"/>
      <c r="IX20" s="137"/>
      <c r="IY20" s="137"/>
      <c r="IZ20" s="137"/>
      <c r="JA20" s="137"/>
      <c r="JB20" s="137"/>
      <c r="JC20" s="137"/>
      <c r="JD20" s="137"/>
      <c r="JE20" s="137"/>
      <c r="JF20" s="137"/>
      <c r="JG20" s="137"/>
      <c r="JH20" s="137"/>
      <c r="JI20" s="137"/>
      <c r="JJ20" s="137"/>
      <c r="JK20" s="137"/>
      <c r="JL20" s="137"/>
      <c r="JM20" s="137"/>
      <c r="JN20" s="137"/>
      <c r="JO20" s="137"/>
      <c r="JP20" s="137"/>
      <c r="JQ20" s="137"/>
      <c r="JR20" s="137"/>
      <c r="JS20" s="137"/>
      <c r="JT20" s="137"/>
      <c r="JU20" s="137"/>
      <c r="JV20" s="137"/>
      <c r="JW20" s="137"/>
      <c r="JX20" s="137"/>
      <c r="JY20" s="137"/>
      <c r="JZ20" s="137"/>
      <c r="KA20" s="137"/>
      <c r="KB20" s="137"/>
      <c r="KC20" s="137"/>
      <c r="KD20" s="137"/>
      <c r="KE20" s="137"/>
      <c r="KF20" s="137"/>
      <c r="KG20" s="137"/>
      <c r="KH20" s="137"/>
      <c r="KI20" s="137"/>
      <c r="KJ20" s="137"/>
      <c r="KK20" s="137"/>
      <c r="KL20" s="137"/>
      <c r="KM20" s="137"/>
      <c r="KN20" s="137"/>
      <c r="KO20" s="137"/>
      <c r="KP20" s="137"/>
      <c r="KQ20" s="137"/>
      <c r="KR20" s="137"/>
      <c r="KS20" s="137"/>
      <c r="KT20" s="137"/>
      <c r="KU20" s="137"/>
      <c r="KV20" s="137"/>
      <c r="KW20" s="137"/>
      <c r="KX20" s="137"/>
      <c r="KY20" s="137"/>
      <c r="KZ20" s="137"/>
      <c r="LA20" s="137"/>
      <c r="LB20" s="137"/>
      <c r="LC20" s="137"/>
      <c r="LD20" s="137"/>
      <c r="LE20" s="137"/>
      <c r="LF20" s="137"/>
      <c r="LG20" s="137"/>
      <c r="LH20" s="137"/>
      <c r="LI20" s="137"/>
      <c r="LJ20" s="137"/>
      <c r="LK20" s="137"/>
      <c r="LL20" s="137"/>
      <c r="LM20" s="137"/>
      <c r="LN20" s="137"/>
      <c r="LO20" s="137"/>
      <c r="LP20" s="137"/>
      <c r="LQ20" s="137"/>
      <c r="LR20" s="137"/>
      <c r="LS20" s="137"/>
      <c r="LT20" s="137"/>
      <c r="LU20" s="137"/>
      <c r="LV20" s="137"/>
      <c r="LW20" s="137"/>
      <c r="LX20" s="137"/>
      <c r="LY20" s="137"/>
      <c r="LZ20" s="137"/>
    </row>
    <row r="21" customFormat="false" ht="15" hidden="false" customHeight="false" outlineLevel="0" collapsed="false"/>
    <row r="22" customFormat="false" ht="15" hidden="false" customHeight="false" outlineLevel="0" collapsed="false"/>
    <row r="23" customFormat="false" ht="34.5" hidden="false" customHeight="true" outlineLevel="0" collapsed="false">
      <c r="A23" s="235" t="s">
        <v>463</v>
      </c>
      <c r="B23" s="236"/>
      <c r="C23" s="236"/>
      <c r="D23" s="236"/>
      <c r="E23" s="236"/>
      <c r="F23" s="237"/>
      <c r="G23" s="238"/>
      <c r="H23" s="235" t="s">
        <v>464</v>
      </c>
      <c r="I23" s="236"/>
      <c r="J23" s="236"/>
      <c r="K23" s="236"/>
      <c r="L23" s="236"/>
      <c r="M23" s="237"/>
    </row>
    <row r="24" customFormat="false" ht="34.5" hidden="false" customHeight="true" outlineLevel="0" collapsed="false">
      <c r="A24" s="205"/>
      <c r="B24" s="239" t="s">
        <v>465</v>
      </c>
      <c r="C24" s="239" t="s">
        <v>447</v>
      </c>
      <c r="D24" s="239" t="s">
        <v>21</v>
      </c>
      <c r="E24" s="239" t="s">
        <v>22</v>
      </c>
      <c r="F24" s="240" t="s">
        <v>24</v>
      </c>
      <c r="G24" s="241"/>
      <c r="H24" s="205"/>
      <c r="I24" s="239" t="s">
        <v>465</v>
      </c>
      <c r="J24" s="239" t="s">
        <v>447</v>
      </c>
      <c r="K24" s="239" t="s">
        <v>21</v>
      </c>
      <c r="L24" s="239" t="s">
        <v>22</v>
      </c>
      <c r="M24" s="240" t="s">
        <v>24</v>
      </c>
    </row>
    <row r="25" customFormat="false" ht="96.75" hidden="false" customHeight="true" outlineLevel="0" collapsed="false">
      <c r="A25" s="242" t="n">
        <v>1</v>
      </c>
      <c r="B25" s="242" t="str">
        <f aca="false">_xlfn.XLOOKUP($A25,'(backend scoring)'!$V$2:$V$333,'(backend scoring)'!$A$2:$A$333,"")</f>
        <v>COMP-01</v>
      </c>
      <c r="C25" s="242" t="str">
        <f aca="false">IFERROR(VLOOKUP($B25,'Institution Evaluation'!$A$55:$F$346,2,0),IFERROR(VLOOKUP($B25,'Privacy Analyst Evaluation'!$A$46:$F$120,2,0),""))&amp;""</f>
        <v>Do you have a dedicated software and system development team(s) (e.g., customer support, implementation, product management, etc.)?*</v>
      </c>
      <c r="D25" s="242" t="str">
        <f aca="false">IFERROR(VLOOKUP($B25,'Institution Evaluation'!$A$55:$F$346,3,0),IFERROR(VLOOKUP($B25,'Privacy Analyst Evaluation'!$A$46:$F$120,3,0),""))&amp;""</f>
        <v>No</v>
      </c>
      <c r="E25" s="242" t="str">
        <f aca="false">IFERROR(VLOOKUP($B25,'Institution Evaluation'!$A$55:$F$346,4,0),IFERROR(VLOOKUP($B25,'Privacy Analyst Evaluation'!$A$46:$F$120,4,0),""))&amp;""</f>
        <v>QGIS is driven by community. </v>
      </c>
      <c r="F25" s="242" t="str">
        <f aca="false">IFERROR(VLOOKUP($B25,'Institution Evaluation'!$A$55:$F$346,6,0),IFERROR(VLOOKUP($B25,'Privacy Analyst Evaluation'!$A$46:$F$120,6,0),""))&amp;""</f>
        <v/>
      </c>
      <c r="G25" s="243"/>
      <c r="H25" s="242" t="n">
        <v>1</v>
      </c>
      <c r="I25" s="242" t="str">
        <f aca="false">_xlfn.XLOOKUP($H25,'(backend scoring)'!$S$2:$S$333,'(backend scoring)'!$A$2:$A$333,"")</f>
        <v/>
      </c>
      <c r="J25" s="242" t="str">
        <f aca="false">IFERROR(VLOOKUP($I25,'Institution Evaluation'!$A$55:$F$346,2,0),IFERROR(VLOOKUP($I25,'Privacy Analyst Evaluation'!$A$46:$F$120,2,0),""))&amp;""</f>
        <v/>
      </c>
      <c r="K25" s="242" t="str">
        <f aca="false">IFERROR(VLOOKUP($I25,'Institution Evaluation'!$A$55:$F$346,3,0),IFERROR(VLOOKUP($I25,'Privacy Analyst Evaluation'!$A$46:$F$120,3,0),""))&amp;""</f>
        <v/>
      </c>
      <c r="L25" s="242" t="str">
        <f aca="false">IFERROR(VLOOKUP($I25,'Institution Evaluation'!$A$55:$F$346,4,0),IFERROR(VLOOKUP($I25,'Privacy Analyst Evaluation'!$A$46:$F$120,4,0),""))&amp;""</f>
        <v/>
      </c>
      <c r="M25" s="242" t="str">
        <f aca="false">IFERROR(VLOOKUP($I25,'Institution Evaluation'!$A$55:$F$346,6,0),IFERROR(VLOOKUP($I25,'Privacy Analyst Evaluation'!$A$46:$F$120,6,0),""))&amp;""</f>
        <v/>
      </c>
    </row>
    <row r="26" customFormat="false" ht="64.5" hidden="false" customHeight="true" outlineLevel="0" collapsed="false">
      <c r="A26" s="242" t="n">
        <f aca="false">IFERROR(IF($A25+1&gt;'(backend scoring)'!$T$335,"",$A25+1),"")</f>
        <v>2</v>
      </c>
      <c r="B26" s="242" t="str">
        <f aca="false">_xlfn.XLOOKUP($A26,'(backend scoring)'!$V$2:$V$333,'(backend scoring)'!$A$2:$A$333,"")</f>
        <v>DOCU-01</v>
      </c>
      <c r="C26" s="242" t="str">
        <f aca="false">IFERROR(VLOOKUP($B26,'Institution Evaluation'!$A$55:$F$346,2,0),IFERROR(VLOOKUP($B26,'Privacy Analyst Evaluation'!$A$46:$F$120,2,0),""))&amp;""</f>
        <v>Do you have a well-documented business continuity plan (BCP), with a clear owner, that is tested annually?*</v>
      </c>
      <c r="D26" s="242" t="str">
        <f aca="false">IFERROR(VLOOKUP($B26,'Institution Evaluation'!$A$55:$F$346,3,0),IFERROR(VLOOKUP($B26,'Privacy Analyst Evaluation'!$A$46:$F$120,3,0),""))&amp;""</f>
        <v>No</v>
      </c>
      <c r="E26" s="242" t="str">
        <f aca="false">IFERROR(VLOOKUP($B26,'Institution Evaluation'!$A$55:$F$346,4,0),IFERROR(VLOOKUP($B26,'Privacy Analyst Evaluation'!$A$46:$F$120,4,0),""))&amp;""</f>
        <v>NA – we don’t provide online service</v>
      </c>
      <c r="F26" s="242" t="str">
        <f aca="false">IFERROR(VLOOKUP($B26,'Institution Evaluation'!$A$55:$F$346,6,0),IFERROR(VLOOKUP($B26,'Privacy Analyst Evaluation'!$A$46:$F$120,6,0),""))&amp;""</f>
        <v/>
      </c>
      <c r="G26" s="243"/>
      <c r="H26" s="242" t="str">
        <f aca="false">IFERROR(IF($H25+1&gt;'(backend scoring)'!$Q$335,"",$H25+1),"")</f>
        <v/>
      </c>
      <c r="I26" s="242" t="str">
        <f aca="false">_xlfn.XLOOKUP($H26,'(backend scoring)'!$S$2:$S$333,'(backend scoring)'!$A$2:$A$333,"")</f>
        <v/>
      </c>
      <c r="J26" s="242" t="str">
        <f aca="false">IFERROR(VLOOKUP($I26,'Institution Evaluation'!$A$55:$F$346,2,0),IFERROR(VLOOKUP($I26,'Privacy Analyst Evaluation'!$A$46:$F$120,2,0),""))</f>
        <v/>
      </c>
      <c r="K26" s="242" t="str">
        <f aca="false">IFERROR(VLOOKUP($I26,'Institution Evaluation'!$A$55:$F$346,3,0),IFERROR(VLOOKUP($I26,'Privacy Analyst Evaluation'!$A$46:$F$120,3,0),""))&amp;""</f>
        <v/>
      </c>
      <c r="L26" s="242" t="str">
        <f aca="false">IFERROR(VLOOKUP($I26,'Institution Evaluation'!$A$55:$F$346,4,0),IFERROR(VLOOKUP($I26,'Privacy Analyst Evaluation'!$A$46:$F$120,4,0),""))&amp;""</f>
        <v/>
      </c>
      <c r="M26" s="242" t="str">
        <f aca="false">IFERROR(VLOOKUP($I26,'Institution Evaluation'!$A$55:$F$346,6,0),IFERROR(VLOOKUP($I26,'Privacy Analyst Evaluation'!$A$46:$F$120,6,0),""))&amp;""</f>
        <v/>
      </c>
    </row>
    <row r="27" customFormat="false" ht="66.75" hidden="false" customHeight="true" outlineLevel="0" collapsed="false">
      <c r="A27" s="242" t="n">
        <f aca="false">IFERROR(IF($A26+1&gt;'(backend scoring)'!$T$335,"",$A26+1),"")</f>
        <v>3</v>
      </c>
      <c r="B27" s="242" t="str">
        <f aca="false">_xlfn.XLOOKUP($A27,'(backend scoring)'!$V$2:$V$333,'(backend scoring)'!$A$2:$A$333,"")</f>
        <v>DOCU-02</v>
      </c>
      <c r="C27" s="242" t="str">
        <f aca="false">IFERROR(VLOOKUP($B27,'Institution Evaluation'!$A$55:$F$346,2,0),IFERROR(VLOOKUP($B27,'Privacy Analyst Evaluation'!$A$46:$F$120,2,0),""))&amp;""</f>
        <v>Do you have a well-documented disaster recovery plan (DRP), with a clear owner, that is tested annually?*</v>
      </c>
      <c r="D27" s="242" t="str">
        <f aca="false">IFERROR(VLOOKUP($B27,'Institution Evaluation'!$A$55:$F$346,3,0),IFERROR(VLOOKUP($B27,'Privacy Analyst Evaluation'!$A$46:$F$120,3,0),""))&amp;""</f>
        <v>No</v>
      </c>
      <c r="E27" s="242" t="str">
        <f aca="false">IFERROR(VLOOKUP($B27,'Institution Evaluation'!$A$55:$F$346,4,0),IFERROR(VLOOKUP($B27,'Privacy Analyst Evaluation'!$A$46:$F$120,4,0),""))&amp;""</f>
        <v>NA – we don’t provide online service</v>
      </c>
      <c r="F27" s="242" t="str">
        <f aca="false">IFERROR(VLOOKUP($B27,'Institution Evaluation'!$A$55:$F$346,6,0),IFERROR(VLOOKUP($B27,'Privacy Analyst Evaluation'!$A$46:$F$120,6,0),""))&amp;""</f>
        <v/>
      </c>
      <c r="G27" s="243"/>
      <c r="H27" s="242" t="str">
        <f aca="false">IFERROR(IF($H26+1&gt;'(backend scoring)'!$Q$335,"",$H26+1),"")</f>
        <v/>
      </c>
      <c r="I27" s="242" t="str">
        <f aca="false">_xlfn.XLOOKUP($H27,'(backend scoring)'!$S$2:$S$333,'(backend scoring)'!$A$2:$A$333,"")</f>
        <v/>
      </c>
      <c r="J27" s="242" t="str">
        <f aca="false">IFERROR(VLOOKUP($I27,'Institution Evaluation'!$A$55:$F$346,2,0),IFERROR(VLOOKUP($I27,'Privacy Analyst Evaluation'!$A$46:$F$120,2,0),""))</f>
        <v/>
      </c>
      <c r="K27" s="242" t="str">
        <f aca="false">IFERROR(VLOOKUP($I27,'Institution Evaluation'!$A$55:$F$346,3,0),IFERROR(VLOOKUP($I27,'Privacy Analyst Evaluation'!$A$46:$F$120,3,0),""))&amp;""</f>
        <v/>
      </c>
      <c r="L27" s="242" t="str">
        <f aca="false">IFERROR(VLOOKUP($I27,'Institution Evaluation'!$A$55:$F$346,4,0),IFERROR(VLOOKUP($I27,'Privacy Analyst Evaluation'!$A$46:$F$120,4,0),""))&amp;""</f>
        <v/>
      </c>
      <c r="M27" s="242" t="str">
        <f aca="false">IFERROR(VLOOKUP($I27,'Institution Evaluation'!$A$55:$F$346,6,0),IFERROR(VLOOKUP($I27,'Privacy Analyst Evaluation'!$A$46:$F$120,6,0),""))&amp;""</f>
        <v/>
      </c>
    </row>
    <row r="28" customFormat="false" ht="83.55" hidden="false" customHeight="false" outlineLevel="0" collapsed="false">
      <c r="A28" s="242" t="n">
        <f aca="false">IFERROR(IF($A27+1&gt;'(backend scoring)'!$T$335,"",$A27+1),"")</f>
        <v>4</v>
      </c>
      <c r="B28" s="242" t="str">
        <f aca="false">_xlfn.XLOOKUP($A28,'(backend scoring)'!$V$2:$V$333,'(backend scoring)'!$A$2:$A$333,"")</f>
        <v>ITAC-06</v>
      </c>
      <c r="C28" s="242" t="str">
        <f aca="false">IFERROR(VLOOKUP($B28,'Institution Evaluation'!$A$55:$F$346,2,0),IFERROR(VLOOKUP($B28,'Privacy Analyst Evaluation'!$A$46:$F$120,2,0),""))&amp;""</f>
        <v>Has a VPAT or ACR been created or updated for the solution and version under consideration within the past 12 months?*</v>
      </c>
      <c r="D28" s="242" t="str">
        <f aca="false">IFERROR(VLOOKUP($B28,'Institution Evaluation'!$A$55:$F$346,3,0),IFERROR(VLOOKUP($B28,'Privacy Analyst Evaluation'!$A$46:$F$120,3,0),""))&amp;""</f>
        <v>yes</v>
      </c>
      <c r="E28" s="242" t="str">
        <f aca="false">IFERROR(VLOOKUP($B28,'Institution Evaluation'!$A$55:$F$346,4,0),IFERROR(VLOOKUP($B28,'Privacy Analyst Evaluation'!$A$46:$F$120,4,0),""))&amp;""</f>
        <v>April 18th 2025
https://www.qgis-us.org/2025/09/12/vpat/</v>
      </c>
      <c r="F28" s="242" t="str">
        <f aca="false">IFERROR(VLOOKUP($B28,'Institution Evaluation'!$A$55:$F$346,6,0),IFERROR(VLOOKUP($B28,'Privacy Analyst Evaluation'!$A$46:$F$120,6,0),""))&amp;""</f>
        <v/>
      </c>
      <c r="G28" s="243"/>
      <c r="H28" s="242" t="str">
        <f aca="false">IFERROR(IF($H27+1&gt;'(backend scoring)'!$Q$335,"",$H27+1),"")</f>
        <v/>
      </c>
      <c r="I28" s="242" t="str">
        <f aca="false">_xlfn.XLOOKUP($H28,'(backend scoring)'!$S$2:$S$333,'(backend scoring)'!$A$2:$A$333,"")</f>
        <v/>
      </c>
      <c r="J28" s="242" t="str">
        <f aca="false">IFERROR(VLOOKUP($I28,'Institution Evaluation'!$A$55:$F$346,2,0),IFERROR(VLOOKUP($I28,'Privacy Analyst Evaluation'!$A$46:$F$120,2,0),""))</f>
        <v/>
      </c>
      <c r="K28" s="242" t="str">
        <f aca="false">IFERROR(VLOOKUP($I28,'Institution Evaluation'!$A$55:$F$346,3,0),IFERROR(VLOOKUP($I28,'Privacy Analyst Evaluation'!$A$46:$F$120,3,0),""))&amp;""</f>
        <v/>
      </c>
      <c r="L28" s="242" t="str">
        <f aca="false">IFERROR(VLOOKUP($I28,'Institution Evaluation'!$A$55:$F$346,4,0),IFERROR(VLOOKUP($I28,'Privacy Analyst Evaluation'!$A$46:$F$120,4,0),""))&amp;""</f>
        <v/>
      </c>
      <c r="M28" s="242" t="str">
        <f aca="false">IFERROR(VLOOKUP($I28,'Institution Evaluation'!$A$55:$F$346,6,0),IFERROR(VLOOKUP($I28,'Privacy Analyst Evaluation'!$A$46:$F$120,6,0),""))&amp;""</f>
        <v/>
      </c>
    </row>
    <row r="29" customFormat="false" ht="83.55" hidden="false" customHeight="false" outlineLevel="0" collapsed="false">
      <c r="A29" s="242" t="n">
        <f aca="false">IFERROR(IF($A28+1&gt;'(backend scoring)'!$T$335,"",$A28+1),"")</f>
        <v>5</v>
      </c>
      <c r="B29" s="242" t="str">
        <f aca="false">_xlfn.XLOOKUP($A29,'(backend scoring)'!$V$2:$V$333,'(backend scoring)'!$A$2:$A$333,"")</f>
        <v>ITAC-07</v>
      </c>
      <c r="C29" s="242" t="str">
        <f aca="false">IFERROR(VLOOKUP($B29,'Institution Evaluation'!$A$55:$F$346,2,0),IFERROR(VLOOKUP($B29,'Privacy Analyst Evaluation'!$A$46:$F$120,2,0),""))&amp;""</f>
        <v>Will your company agree to meet your stated accessibility standard or WCAG 2.1 AA as part of your contractual agreement for the solution?*</v>
      </c>
      <c r="D29" s="242" t="str">
        <f aca="false">IFERROR(VLOOKUP($B29,'Institution Evaluation'!$A$55:$F$346,3,0),IFERROR(VLOOKUP($B29,'Privacy Analyst Evaluation'!$A$46:$F$120,3,0),""))&amp;""</f>
        <v>yes</v>
      </c>
      <c r="E29" s="242" t="str">
        <f aca="false">IFERROR(VLOOKUP($B29,'Institution Evaluation'!$A$55:$F$346,4,0),IFERROR(VLOOKUP($B29,'Privacy Analyst Evaluation'!$A$46:$F$120,4,0),""))&amp;""</f>
        <v/>
      </c>
      <c r="F29" s="242" t="str">
        <f aca="false">IFERROR(VLOOKUP($B29,'Institution Evaluation'!$A$55:$F$346,6,0),IFERROR(VLOOKUP($B29,'Privacy Analyst Evaluation'!$A$46:$F$120,6,0),""))&amp;""</f>
        <v/>
      </c>
      <c r="G29" s="243"/>
      <c r="H29" s="242" t="str">
        <f aca="false">IFERROR(IF($H28+1&gt;'(backend scoring)'!$Q$335,"",$H28+1),"")</f>
        <v/>
      </c>
      <c r="I29" s="242" t="str">
        <f aca="false">_xlfn.XLOOKUP($H29,'(backend scoring)'!$S$2:$S$333,'(backend scoring)'!$A$2:$A$333,"")</f>
        <v/>
      </c>
      <c r="J29" s="242" t="str">
        <f aca="false">IFERROR(VLOOKUP($I29,'Institution Evaluation'!$A$55:$F$346,2,0),IFERROR(VLOOKUP($I29,'Privacy Analyst Evaluation'!$A$46:$F$120,2,0),""))</f>
        <v/>
      </c>
      <c r="K29" s="242" t="str">
        <f aca="false">IFERROR(VLOOKUP($I29,'Institution Evaluation'!$A$55:$F$346,3,0),IFERROR(VLOOKUP($I29,'Privacy Analyst Evaluation'!$A$46:$F$120,3,0),""))&amp;""</f>
        <v/>
      </c>
      <c r="L29" s="242" t="str">
        <f aca="false">IFERROR(VLOOKUP($I29,'Institution Evaluation'!$A$55:$F$346,4,0),IFERROR(VLOOKUP($I29,'Privacy Analyst Evaluation'!$A$46:$F$120,4,0),""))&amp;""</f>
        <v/>
      </c>
      <c r="M29" s="242" t="str">
        <f aca="false">IFERROR(VLOOKUP($I29,'Institution Evaluation'!$A$55:$F$346,6,0),IFERROR(VLOOKUP($I29,'Privacy Analyst Evaluation'!$A$46:$F$120,6,0),""))&amp;""</f>
        <v/>
      </c>
    </row>
    <row r="30" customFormat="false" ht="34.3" hidden="false" customHeight="false" outlineLevel="0" collapsed="false">
      <c r="A30" s="242" t="n">
        <f aca="false">IFERROR(IF($A29+1&gt;'(backend scoring)'!$T$335,"",$A29+1),"")</f>
        <v>6</v>
      </c>
      <c r="B30" s="242" t="str">
        <f aca="false">_xlfn.XLOOKUP($A30,'(backend scoring)'!$V$2:$V$333,'(backend scoring)'!$A$2:$A$333,"")</f>
        <v>ITAC-08</v>
      </c>
      <c r="C30" s="242" t="str">
        <f aca="false">IFERROR(VLOOKUP($B30,'Institution Evaluation'!$A$55:$F$346,2,0),IFERROR(VLOOKUP($B30,'Privacy Analyst Evaluation'!$A$46:$F$120,2,0),""))&amp;""</f>
        <v>Does the solution substantially conform to WCAG 2.1 AA?*</v>
      </c>
      <c r="D30" s="242" t="str">
        <f aca="false">IFERROR(VLOOKUP($B30,'Institution Evaluation'!$A$55:$F$346,3,0),IFERROR(VLOOKUP($B30,'Privacy Analyst Evaluation'!$A$46:$F$120,3,0),""))&amp;""</f>
        <v>NO</v>
      </c>
      <c r="E30" s="242" t="str">
        <f aca="false">IFERROR(VLOOKUP($B30,'Institution Evaluation'!$A$55:$F$346,4,0),IFERROR(VLOOKUP($B30,'Privacy Analyst Evaluation'!$A$46:$F$120,4,0),""))&amp;""</f>
        <v>NA/ QGIS is a desktop application, not a web application. We rely mostly on Qt’s upstream accessibility feature. </v>
      </c>
      <c r="F30" s="242" t="str">
        <f aca="false">IFERROR(VLOOKUP($B30,'Institution Evaluation'!$A$55:$F$346,6,0),IFERROR(VLOOKUP($B30,'Privacy Analyst Evaluation'!$A$46:$F$120,6,0),""))&amp;""</f>
        <v/>
      </c>
      <c r="G30" s="243"/>
      <c r="H30" s="242" t="str">
        <f aca="false">IFERROR(IF($H29+1&gt;'(backend scoring)'!$Q$335,"",$H29+1),"")</f>
        <v/>
      </c>
      <c r="I30" s="242" t="str">
        <f aca="false">_xlfn.XLOOKUP($H30,'(backend scoring)'!$S$2:$S$333,'(backend scoring)'!$A$2:$A$333,"")</f>
        <v/>
      </c>
      <c r="J30" s="242" t="str">
        <f aca="false">IFERROR(VLOOKUP($I30,'Institution Evaluation'!$A$55:$F$346,2,0),IFERROR(VLOOKUP($I30,'Privacy Analyst Evaluation'!$A$46:$F$120,2,0),""))</f>
        <v/>
      </c>
      <c r="K30" s="242" t="str">
        <f aca="false">IFERROR(VLOOKUP($I30,'Institution Evaluation'!$A$55:$F$346,3,0),IFERROR(VLOOKUP($I30,'Privacy Analyst Evaluation'!$A$46:$F$120,3,0),""))&amp;""</f>
        <v/>
      </c>
      <c r="L30" s="242" t="str">
        <f aca="false">IFERROR(VLOOKUP($I30,'Institution Evaluation'!$A$55:$F$346,4,0),IFERROR(VLOOKUP($I30,'Privacy Analyst Evaluation'!$A$46:$F$120,4,0),""))&amp;""</f>
        <v/>
      </c>
      <c r="M30" s="242" t="str">
        <f aca="false">IFERROR(VLOOKUP($I30,'Institution Evaluation'!$A$55:$F$346,6,0),IFERROR(VLOOKUP($I30,'Privacy Analyst Evaluation'!$A$46:$F$120,6,0),""))&amp;""</f>
        <v/>
      </c>
    </row>
    <row r="31" customFormat="false" ht="67.15" hidden="false" customHeight="false" outlineLevel="0" collapsed="false">
      <c r="A31" s="242" t="n">
        <f aca="false">IFERROR(IF($A30+1&gt;'(backend scoring)'!$T$335,"",$A30+1),"")</f>
        <v>7</v>
      </c>
      <c r="B31" s="242" t="str">
        <f aca="false">_xlfn.XLOOKUP($A31,'(backend scoring)'!$V$2:$V$333,'(backend scoring)'!$A$2:$A$333,"")</f>
        <v>ITAC-09</v>
      </c>
      <c r="C31" s="242" t="str">
        <f aca="false">IFERROR(VLOOKUP($B31,'Institution Evaluation'!$A$55:$F$346,2,0),IFERROR(VLOOKUP($B31,'Privacy Analyst Evaluation'!$A$46:$F$120,2,0),""))&amp;""</f>
        <v>Do you have a documented and implemented process for reporting and tracking accessibility issues?*</v>
      </c>
      <c r="D31" s="242" t="str">
        <f aca="false">IFERROR(VLOOKUP($B31,'Institution Evaluation'!$A$55:$F$346,3,0),IFERROR(VLOOKUP($B31,'Privacy Analyst Evaluation'!$A$46:$F$120,3,0),""))&amp;""</f>
        <v>yes</v>
      </c>
      <c r="E31" s="242" t="str">
        <f aca="false">IFERROR(VLOOKUP($B31,'Institution Evaluation'!$A$55:$F$346,4,0),IFERROR(VLOOKUP($B31,'Privacy Analyst Evaluation'!$A$46:$F$120,4,0),""))&amp;""</f>
        <v>we have public bug tracker</v>
      </c>
      <c r="F31" s="242" t="str">
        <f aca="false">IFERROR(VLOOKUP($B31,'Institution Evaluation'!$A$55:$F$346,6,0),IFERROR(VLOOKUP($B31,'Privacy Analyst Evaluation'!$A$46:$F$120,6,0),""))&amp;""</f>
        <v/>
      </c>
      <c r="G31" s="243"/>
      <c r="H31" s="242" t="str">
        <f aca="false">IFERROR(IF($H30+1&gt;'(backend scoring)'!$Q$335,"",$H30+1),"")</f>
        <v/>
      </c>
      <c r="I31" s="242" t="str">
        <f aca="false">_xlfn.XLOOKUP($H31,'(backend scoring)'!$S$2:$S$333,'(backend scoring)'!$A$2:$A$333,"")</f>
        <v/>
      </c>
      <c r="J31" s="242" t="str">
        <f aca="false">IFERROR(VLOOKUP($I31,'Institution Evaluation'!$A$55:$F$346,2,0),IFERROR(VLOOKUP($I31,'Privacy Analyst Evaluation'!$A$46:$F$120,2,0),""))</f>
        <v/>
      </c>
      <c r="K31" s="242" t="str">
        <f aca="false">IFERROR(VLOOKUP($I31,'Institution Evaluation'!$A$55:$F$346,3,0),IFERROR(VLOOKUP($I31,'Privacy Analyst Evaluation'!$A$46:$F$120,3,0),""))&amp;""</f>
        <v/>
      </c>
      <c r="L31" s="242" t="str">
        <f aca="false">IFERROR(VLOOKUP($I31,'Institution Evaluation'!$A$55:$F$346,4,0),IFERROR(VLOOKUP($I31,'Privacy Analyst Evaluation'!$A$46:$F$120,4,0),""))&amp;""</f>
        <v/>
      </c>
      <c r="M31" s="242" t="str">
        <f aca="false">IFERROR(VLOOKUP($I31,'Institution Evaluation'!$A$55:$F$346,6,0),IFERROR(VLOOKUP($I31,'Privacy Analyst Evaluation'!$A$46:$F$120,6,0),""))&amp;""</f>
        <v/>
      </c>
    </row>
    <row r="32" customFormat="false" ht="67.15" hidden="false" customHeight="false" outlineLevel="0" collapsed="false">
      <c r="A32" s="242" t="n">
        <f aca="false">IFERROR(IF($A31+1&gt;'(backend scoring)'!$T$335,"",$A31+1),"")</f>
        <v>8</v>
      </c>
      <c r="B32" s="242" t="str">
        <f aca="false">_xlfn.XLOOKUP($A32,'(backend scoring)'!$V$2:$V$333,'(backend scoring)'!$A$2:$A$333,"")</f>
        <v>THRD-02</v>
      </c>
      <c r="C32" s="242" t="str">
        <f aca="false">IFERROR(VLOOKUP($B32,'Institution Evaluation'!$A$55:$F$346,2,0),IFERROR(VLOOKUP($B32,'Privacy Analyst Evaluation'!$A$46:$F$120,2,0),""))&amp;""</f>
        <v>Do you have contractual language in place with third parties governing access to institutional data?*</v>
      </c>
      <c r="D32" s="242" t="str">
        <f aca="false">IFERROR(VLOOKUP($B32,'Institution Evaluation'!$A$55:$F$346,3,0),IFERROR(VLOOKUP($B32,'Privacy Analyst Evaluation'!$A$46:$F$120,3,0),""))&amp;""</f>
        <v>No</v>
      </c>
      <c r="E32" s="242" t="str">
        <f aca="false">IFERROR(VLOOKUP($B32,'Institution Evaluation'!$A$55:$F$346,4,0),IFERROR(VLOOKUP($B32,'Privacy Analyst Evaluation'!$A$46:$F$120,4,0),""))&amp;""</f>
        <v>Users stay in full ownership of their data. </v>
      </c>
      <c r="F32" s="242" t="str">
        <f aca="false">IFERROR(VLOOKUP($B32,'Institution Evaluation'!$A$55:$F$346,6,0),IFERROR(VLOOKUP($B32,'Privacy Analyst Evaluation'!$A$46:$F$120,6,0),""))&amp;""</f>
        <v/>
      </c>
      <c r="G32" s="243"/>
      <c r="H32" s="242" t="str">
        <f aca="false">IFERROR(IF($H31+1&gt;'(backend scoring)'!$Q$335,"",$H31+1),"")</f>
        <v/>
      </c>
      <c r="I32" s="242" t="str">
        <f aca="false">_xlfn.XLOOKUP($H32,'(backend scoring)'!$S$2:$S$333,'(backend scoring)'!$A$2:$A$333,"")</f>
        <v/>
      </c>
      <c r="J32" s="242" t="str">
        <f aca="false">IFERROR(VLOOKUP($I32,'Institution Evaluation'!$A$55:$F$346,2,0),IFERROR(VLOOKUP($I32,'Privacy Analyst Evaluation'!$A$46:$F$120,2,0),""))</f>
        <v/>
      </c>
      <c r="K32" s="242" t="str">
        <f aca="false">IFERROR(VLOOKUP($I32,'Institution Evaluation'!$A$55:$F$346,3,0),IFERROR(VLOOKUP($I32,'Privacy Analyst Evaluation'!$A$46:$F$120,3,0),""))&amp;""</f>
        <v/>
      </c>
      <c r="L32" s="242" t="str">
        <f aca="false">IFERROR(VLOOKUP($I32,'Institution Evaluation'!$A$55:$F$346,4,0),IFERROR(VLOOKUP($I32,'Privacy Analyst Evaluation'!$A$46:$F$120,4,0),""))&amp;""</f>
        <v/>
      </c>
      <c r="M32" s="242" t="str">
        <f aca="false">IFERROR(VLOOKUP($I32,'Institution Evaluation'!$A$55:$F$346,6,0),IFERROR(VLOOKUP($I32,'Privacy Analyst Evaluation'!$A$46:$F$120,6,0),""))&amp;""</f>
        <v/>
      </c>
    </row>
    <row r="33" customFormat="false" ht="99.95" hidden="false" customHeight="false" outlineLevel="0" collapsed="false">
      <c r="A33" s="242" t="n">
        <f aca="false">IFERROR(IF($A32+1&gt;'(backend scoring)'!$T$335,"",$A32+1),"")</f>
        <v>9</v>
      </c>
      <c r="B33" s="242" t="str">
        <f aca="false">_xlfn.XLOOKUP($A33,'(backend scoring)'!$V$2:$V$333,'(backend scoring)'!$A$2:$A$333,"")</f>
        <v>THRD-01</v>
      </c>
      <c r="C33" s="242" t="str">
        <f aca="false">IFERROR(VLOOKUP($B33,'Institution Evaluation'!$A$55:$F$346,2,0),IFERROR(VLOOKUP($B33,'Privacy Analyst Evaluation'!$A$46:$F$120,2,0),""))&amp;""</f>
        <v>Do you perform security assessments of third-party companies with which you share data (e.g., hosting providers, cloud services, PaaS, IaaS, SaaS)?*</v>
      </c>
      <c r="D33" s="242" t="str">
        <f aca="false">IFERROR(VLOOKUP($B33,'Institution Evaluation'!$A$55:$F$346,3,0),IFERROR(VLOOKUP($B33,'Privacy Analyst Evaluation'!$A$46:$F$120,3,0),""))&amp;""</f>
        <v>No</v>
      </c>
      <c r="E33" s="242" t="str">
        <f aca="false">IFERROR(VLOOKUP($B33,'Institution Evaluation'!$A$55:$F$346,4,0),IFERROR(VLOOKUP($B33,'Privacy Analyst Evaluation'!$A$46:$F$120,4,0),""))&amp;""</f>
        <v>We don’t share data</v>
      </c>
      <c r="F33" s="242" t="str">
        <f aca="false">IFERROR(VLOOKUP($B33,'Institution Evaluation'!$A$55:$F$346,6,0),IFERROR(VLOOKUP($B33,'Privacy Analyst Evaluation'!$A$46:$F$120,6,0),""))&amp;""</f>
        <v/>
      </c>
      <c r="G33" s="243"/>
      <c r="H33" s="242" t="str">
        <f aca="false">IFERROR(IF($H32+1&gt;'(backend scoring)'!$Q$335,"",$H32+1),"")</f>
        <v/>
      </c>
      <c r="I33" s="242" t="str">
        <f aca="false">_xlfn.XLOOKUP($H33,'(backend scoring)'!$S$2:$S$333,'(backend scoring)'!$A$2:$A$333,"")</f>
        <v/>
      </c>
      <c r="J33" s="242" t="str">
        <f aca="false">IFERROR(VLOOKUP($I33,'Institution Evaluation'!$A$55:$F$346,2,0),IFERROR(VLOOKUP($I33,'Privacy Analyst Evaluation'!$A$46:$F$120,2,0),""))</f>
        <v/>
      </c>
      <c r="K33" s="242" t="str">
        <f aca="false">IFERROR(VLOOKUP($I33,'Institution Evaluation'!$A$55:$F$346,3,0),IFERROR(VLOOKUP($I33,'Privacy Analyst Evaluation'!$A$46:$F$120,3,0),""))&amp;""</f>
        <v/>
      </c>
      <c r="L33" s="242" t="str">
        <f aca="false">IFERROR(VLOOKUP($I33,'Institution Evaluation'!$A$55:$F$346,4,0),IFERROR(VLOOKUP($I33,'Privacy Analyst Evaluation'!$A$46:$F$120,4,0),""))&amp;""</f>
        <v/>
      </c>
      <c r="M33" s="242" t="str">
        <f aca="false">IFERROR(VLOOKUP($I33,'Institution Evaluation'!$A$55:$F$346,6,0),IFERROR(VLOOKUP($I33,'Privacy Analyst Evaluation'!$A$46:$F$120,6,0),""))&amp;""</f>
        <v/>
      </c>
    </row>
    <row r="34" customFormat="false" ht="67.15" hidden="false" customHeight="false" outlineLevel="0" collapsed="false">
      <c r="A34" s="242" t="n">
        <f aca="false">IFERROR(IF($A33+1&gt;'(backend scoring)'!$T$335,"",$A33+1),"")</f>
        <v>10</v>
      </c>
      <c r="B34" s="242" t="str">
        <f aca="false">_xlfn.XLOOKUP($A34,'(backend scoring)'!$V$2:$V$333,'(backend scoring)'!$A$2:$A$333,"")</f>
        <v>THRD-03</v>
      </c>
      <c r="C34" s="242" t="str">
        <f aca="false">IFERROR(VLOOKUP($B34,'Institution Evaluation'!$A$55:$F$346,2,0),IFERROR(VLOOKUP($B34,'Privacy Analyst Evaluation'!$A$46:$F$120,2,0),""))&amp;""</f>
        <v>Do the contracts in place with these third parties address liability in the event of a data breach?*</v>
      </c>
      <c r="D34" s="242" t="str">
        <f aca="false">IFERROR(VLOOKUP($B34,'Institution Evaluation'!$A$55:$F$346,3,0),IFERROR(VLOOKUP($B34,'Privacy Analyst Evaluation'!$A$46:$F$120,3,0),""))&amp;""</f>
        <v>No</v>
      </c>
      <c r="E34" s="242" t="str">
        <f aca="false">IFERROR(VLOOKUP($B34,'Institution Evaluation'!$A$55:$F$346,4,0),IFERROR(VLOOKUP($B34,'Privacy Analyst Evaluation'!$A$46:$F$120,4,0),""))&amp;""</f>
        <v>NA</v>
      </c>
      <c r="F34" s="242" t="str">
        <f aca="false">IFERROR(VLOOKUP($B34,'Institution Evaluation'!$A$55:$F$346,6,0),IFERROR(VLOOKUP($B34,'Privacy Analyst Evaluation'!$A$46:$F$120,6,0),""))&amp;""</f>
        <v/>
      </c>
      <c r="G34" s="243"/>
      <c r="H34" s="242" t="str">
        <f aca="false">IFERROR(IF($H33+1&gt;'(backend scoring)'!$Q$335,"",$H33+1),"")</f>
        <v/>
      </c>
      <c r="I34" s="242" t="str">
        <f aca="false">_xlfn.XLOOKUP($H34,'(backend scoring)'!$S$2:$S$333,'(backend scoring)'!$A$2:$A$333,"")</f>
        <v/>
      </c>
      <c r="J34" s="242" t="str">
        <f aca="false">IFERROR(VLOOKUP($I34,'Institution Evaluation'!$A$55:$F$346,2,0),IFERROR(VLOOKUP($I34,'Privacy Analyst Evaluation'!$A$46:$F$120,2,0),""))</f>
        <v/>
      </c>
      <c r="K34" s="242" t="str">
        <f aca="false">IFERROR(VLOOKUP($I34,'Institution Evaluation'!$A$55:$F$346,3,0),IFERROR(VLOOKUP($I34,'Privacy Analyst Evaluation'!$A$46:$F$120,3,0),""))&amp;""</f>
        <v/>
      </c>
      <c r="L34" s="242" t="str">
        <f aca="false">IFERROR(VLOOKUP($I34,'Institution Evaluation'!$A$55:$F$346,4,0),IFERROR(VLOOKUP($I34,'Privacy Analyst Evaluation'!$A$46:$F$120,4,0),""))&amp;""</f>
        <v/>
      </c>
      <c r="M34" s="242" t="str">
        <f aca="false">IFERROR(VLOOKUP($I34,'Institution Evaluation'!$A$55:$F$346,6,0),IFERROR(VLOOKUP($I34,'Privacy Analyst Evaluation'!$A$46:$F$120,6,0),""))&amp;""</f>
        <v/>
      </c>
    </row>
    <row r="35" customFormat="false" ht="50.7" hidden="false" customHeight="false" outlineLevel="0" collapsed="false">
      <c r="A35" s="242" t="n">
        <f aca="false">IFERROR(IF($A34+1&gt;'(backend scoring)'!$T$335,"",$A34+1),"")</f>
        <v>11</v>
      </c>
      <c r="B35" s="242" t="str">
        <f aca="false">_xlfn.XLOOKUP($A35,'(backend scoring)'!$V$2:$V$333,'(backend scoring)'!$A$2:$A$333,"")</f>
        <v>THRD-04</v>
      </c>
      <c r="C35" s="242" t="str">
        <f aca="false">IFERROR(VLOOKUP($B35,'Institution Evaluation'!$A$55:$F$346,2,0),IFERROR(VLOOKUP($B35,'Privacy Analyst Evaluation'!$A$46:$F$120,2,0),""))&amp;""</f>
        <v>Do you have an implemented third-party management strategy?*</v>
      </c>
      <c r="D35" s="242" t="str">
        <f aca="false">IFERROR(VLOOKUP($B35,'Institution Evaluation'!$A$55:$F$346,3,0),IFERROR(VLOOKUP($B35,'Privacy Analyst Evaluation'!$A$46:$F$120,3,0),""))&amp;""</f>
        <v>No</v>
      </c>
      <c r="E35" s="242" t="str">
        <f aca="false">IFERROR(VLOOKUP($B35,'Institution Evaluation'!$A$55:$F$346,4,0),IFERROR(VLOOKUP($B35,'Privacy Analyst Evaluation'!$A$46:$F$120,4,0),""))&amp;""</f>
        <v>NA </v>
      </c>
      <c r="F35" s="242" t="str">
        <f aca="false">IFERROR(VLOOKUP($B35,'Institution Evaluation'!$A$55:$F$346,6,0),IFERROR(VLOOKUP($B35,'Privacy Analyst Evaluation'!$A$46:$F$120,6,0),""))&amp;""</f>
        <v/>
      </c>
      <c r="G35" s="243"/>
      <c r="H35" s="242" t="str">
        <f aca="false">IFERROR(IF($H34+1&gt;'(backend scoring)'!$Q$335,"",$H34+1),"")</f>
        <v/>
      </c>
      <c r="I35" s="242" t="str">
        <f aca="false">_xlfn.XLOOKUP($H35,'(backend scoring)'!$S$2:$S$333,'(backend scoring)'!$A$2:$A$333,"")</f>
        <v/>
      </c>
      <c r="J35" s="242" t="str">
        <f aca="false">IFERROR(VLOOKUP($I35,'Institution Evaluation'!$A$55:$F$346,2,0),IFERROR(VLOOKUP($I35,'Privacy Analyst Evaluation'!$A$46:$F$120,2,0),""))</f>
        <v/>
      </c>
      <c r="K35" s="242" t="str">
        <f aca="false">IFERROR(VLOOKUP($I35,'Institution Evaluation'!$A$55:$F$346,3,0),IFERROR(VLOOKUP($I35,'Privacy Analyst Evaluation'!$A$46:$F$120,3,0),""))&amp;""</f>
        <v/>
      </c>
      <c r="L35" s="242" t="str">
        <f aca="false">IFERROR(VLOOKUP($I35,'Institution Evaluation'!$A$55:$F$346,4,0),IFERROR(VLOOKUP($I35,'Privacy Analyst Evaluation'!$A$46:$F$120,4,0),""))&amp;""</f>
        <v/>
      </c>
      <c r="M35" s="242" t="str">
        <f aca="false">IFERROR(VLOOKUP($I35,'Institution Evaluation'!$A$55:$F$346,6,0),IFERROR(VLOOKUP($I35,'Privacy Analyst Evaluation'!$A$46:$F$120,6,0),""))&amp;""</f>
        <v/>
      </c>
    </row>
    <row r="36" customFormat="false" ht="50.7" hidden="false" customHeight="false" outlineLevel="0" collapsed="false">
      <c r="A36" s="242" t="n">
        <f aca="false">IFERROR(IF($A35+1&gt;'(backend scoring)'!$T$335,"",$A35+1),"")</f>
        <v>12</v>
      </c>
      <c r="B36" s="242" t="str">
        <f aca="false">_xlfn.XLOOKUP($A36,'(backend scoring)'!$V$2:$V$333,'(backend scoring)'!$A$2:$A$333,"")</f>
        <v>CONS-01</v>
      </c>
      <c r="C36" s="242" t="str">
        <f aca="false">IFERROR(VLOOKUP($B36,'Institution Evaluation'!$A$55:$F$346,2,0),IFERROR(VLOOKUP($B36,'Privacy Analyst Evaluation'!$A$46:$F$120,2,0),""))&amp;""</f>
        <v>Will the consultant require access to the institution's network resources?*</v>
      </c>
      <c r="D36" s="242" t="str">
        <f aca="false">IFERROR(VLOOKUP($B36,'Institution Evaluation'!$A$55:$F$346,3,0),IFERROR(VLOOKUP($B36,'Privacy Analyst Evaluation'!$A$46:$F$120,3,0),""))&amp;""</f>
        <v/>
      </c>
      <c r="E36" s="242" t="str">
        <f aca="false">IFERROR(VLOOKUP($B36,'Institution Evaluation'!$A$55:$F$346,4,0),IFERROR(VLOOKUP($B36,'Privacy Analyst Evaluation'!$A$46:$F$120,4,0),""))&amp;""</f>
        <v>This question does not apply.</v>
      </c>
      <c r="F36" s="242" t="str">
        <f aca="false">IFERROR(VLOOKUP($B36,'Institution Evaluation'!$A$55:$F$346,6,0),IFERROR(VLOOKUP($B36,'Privacy Analyst Evaluation'!$A$46:$F$120,6,0),""))&amp;""</f>
        <v/>
      </c>
      <c r="G36" s="243"/>
      <c r="H36" s="242" t="str">
        <f aca="false">IFERROR(IF($H35+1&gt;'(backend scoring)'!$Q$335,"",$H35+1),"")</f>
        <v/>
      </c>
      <c r="I36" s="242" t="str">
        <f aca="false">_xlfn.XLOOKUP($H36,'(backend scoring)'!$S$2:$S$333,'(backend scoring)'!$A$2:$A$333,"")</f>
        <v/>
      </c>
      <c r="J36" s="242" t="str">
        <f aca="false">IFERROR(VLOOKUP($I36,'Institution Evaluation'!$A$55:$F$346,2,0),IFERROR(VLOOKUP($I36,'Privacy Analyst Evaluation'!$A$46:$F$120,2,0),""))</f>
        <v/>
      </c>
      <c r="K36" s="242" t="str">
        <f aca="false">IFERROR(VLOOKUP($I36,'Institution Evaluation'!$A$55:$F$346,3,0),IFERROR(VLOOKUP($I36,'Privacy Analyst Evaluation'!$A$46:$F$120,3,0),""))&amp;""</f>
        <v/>
      </c>
      <c r="L36" s="242" t="str">
        <f aca="false">IFERROR(VLOOKUP($I36,'Institution Evaluation'!$A$55:$F$346,4,0),IFERROR(VLOOKUP($I36,'Privacy Analyst Evaluation'!$A$46:$F$120,4,0),""))&amp;""</f>
        <v/>
      </c>
      <c r="M36" s="242" t="str">
        <f aca="false">IFERROR(VLOOKUP($I36,'Institution Evaluation'!$A$55:$F$346,6,0),IFERROR(VLOOKUP($I36,'Privacy Analyst Evaluation'!$A$46:$F$120,6,0),""))&amp;""</f>
        <v/>
      </c>
    </row>
    <row r="37" customFormat="false" ht="50.7" hidden="false" customHeight="false" outlineLevel="0" collapsed="false">
      <c r="A37" s="242" t="n">
        <f aca="false">IFERROR(IF($A36+1&gt;'(backend scoring)'!$T$335,"",$A36+1),"")</f>
        <v>13</v>
      </c>
      <c r="B37" s="242" t="str">
        <f aca="false">_xlfn.XLOOKUP($A37,'(backend scoring)'!$V$2:$V$333,'(backend scoring)'!$A$2:$A$333,"")</f>
        <v>CONS-02</v>
      </c>
      <c r="C37" s="242" t="str">
        <f aca="false">IFERROR(VLOOKUP($B37,'Institution Evaluation'!$A$55:$F$346,2,0),IFERROR(VLOOKUP($B37,'Privacy Analyst Evaluation'!$A$46:$F$120,2,0),""))&amp;""</f>
        <v>Has the consultant received training on (sensitive, HIPAA, PCI, etc.) data handling?*</v>
      </c>
      <c r="D37" s="242" t="str">
        <f aca="false">IFERROR(VLOOKUP($B37,'Institution Evaluation'!$A$55:$F$346,3,0),IFERROR(VLOOKUP($B37,'Privacy Analyst Evaluation'!$A$46:$F$120,3,0),""))&amp;""</f>
        <v/>
      </c>
      <c r="E37" s="242" t="str">
        <f aca="false">IFERROR(VLOOKUP($B37,'Institution Evaluation'!$A$55:$F$346,4,0),IFERROR(VLOOKUP($B37,'Privacy Analyst Evaluation'!$A$46:$F$120,4,0),""))&amp;""</f>
        <v>This question does not apply.</v>
      </c>
      <c r="F37" s="242" t="str">
        <f aca="false">IFERROR(VLOOKUP($B37,'Institution Evaluation'!$A$55:$F$346,6,0),IFERROR(VLOOKUP($B37,'Privacy Analyst Evaluation'!$A$46:$F$120,6,0),""))&amp;""</f>
        <v/>
      </c>
      <c r="G37" s="243"/>
      <c r="H37" s="242" t="str">
        <f aca="false">IFERROR(IF($H36+1&gt;'(backend scoring)'!$Q$335,"",$H36+1),"")</f>
        <v/>
      </c>
      <c r="I37" s="242" t="str">
        <f aca="false">_xlfn.XLOOKUP($H37,'(backend scoring)'!$S$2:$S$333,'(backend scoring)'!$A$2:$A$333,"")</f>
        <v/>
      </c>
      <c r="J37" s="242" t="str">
        <f aca="false">IFERROR(VLOOKUP($I37,'Institution Evaluation'!$A$55:$F$346,2,0),IFERROR(VLOOKUP($I37,'Privacy Analyst Evaluation'!$A$46:$F$120,2,0),""))</f>
        <v/>
      </c>
      <c r="K37" s="242" t="str">
        <f aca="false">IFERROR(VLOOKUP($I37,'Institution Evaluation'!$A$55:$F$346,3,0),IFERROR(VLOOKUP($I37,'Privacy Analyst Evaluation'!$A$46:$F$120,3,0),""))&amp;""</f>
        <v/>
      </c>
      <c r="L37" s="242" t="str">
        <f aca="false">IFERROR(VLOOKUP($I37,'Institution Evaluation'!$A$55:$F$346,4,0),IFERROR(VLOOKUP($I37,'Privacy Analyst Evaluation'!$A$46:$F$120,4,0),""))&amp;""</f>
        <v/>
      </c>
      <c r="M37" s="242" t="str">
        <f aca="false">IFERROR(VLOOKUP($I37,'Institution Evaluation'!$A$55:$F$346,6,0),IFERROR(VLOOKUP($I37,'Privacy Analyst Evaluation'!$A$46:$F$120,6,0),""))&amp;""</f>
        <v/>
      </c>
    </row>
    <row r="38" customFormat="false" ht="53.25" hidden="false" customHeight="true" outlineLevel="0" collapsed="false">
      <c r="A38" s="242" t="n">
        <f aca="false">IFERROR(IF($A37+1&gt;'(backend scoring)'!$T$335,"",$A37+1),"")</f>
        <v>14</v>
      </c>
      <c r="B38" s="242" t="str">
        <f aca="false">_xlfn.XLOOKUP($A38,'(backend scoring)'!$V$2:$V$333,'(backend scoring)'!$A$2:$A$333,"")</f>
        <v>CONS-03</v>
      </c>
      <c r="C38" s="242" t="str">
        <f aca="false">IFERROR(VLOOKUP($B38,'Institution Evaluation'!$A$55:$F$346,2,0),IFERROR(VLOOKUP($B38,'Privacy Analyst Evaluation'!$A$46:$F$120,2,0),""))&amp;""</f>
        <v>Is the data encrypted (at rest) while in the consultant's possession?*</v>
      </c>
      <c r="D38" s="242" t="str">
        <f aca="false">IFERROR(VLOOKUP($B38,'Institution Evaluation'!$A$55:$F$346,3,0),IFERROR(VLOOKUP($B38,'Privacy Analyst Evaluation'!$A$46:$F$120,3,0),""))&amp;""</f>
        <v/>
      </c>
      <c r="E38" s="242" t="str">
        <f aca="false">IFERROR(VLOOKUP($B38,'Institution Evaluation'!$A$55:$F$346,4,0),IFERROR(VLOOKUP($B38,'Privacy Analyst Evaluation'!$A$46:$F$120,4,0),""))&amp;""</f>
        <v>This question does not apply.</v>
      </c>
      <c r="F38" s="242" t="str">
        <f aca="false">IFERROR(VLOOKUP($B38,'Institution Evaluation'!$A$55:$F$346,6,0),IFERROR(VLOOKUP($B38,'Privacy Analyst Evaluation'!$A$46:$F$120,6,0),""))&amp;""</f>
        <v/>
      </c>
      <c r="G38" s="243"/>
      <c r="H38" s="242" t="str">
        <f aca="false">IFERROR(IF($H37+1&gt;'(backend scoring)'!$Q$335,"",$H37+1),"")</f>
        <v/>
      </c>
      <c r="I38" s="242" t="str">
        <f aca="false">_xlfn.XLOOKUP($H38,'(backend scoring)'!$S$2:$S$333,'(backend scoring)'!$A$2:$A$333,"")</f>
        <v/>
      </c>
      <c r="J38" s="242" t="str">
        <f aca="false">IFERROR(VLOOKUP($I38,'Institution Evaluation'!$A$55:$F$346,2,0),IFERROR(VLOOKUP($I38,'Privacy Analyst Evaluation'!$A$46:$F$120,2,0),""))</f>
        <v/>
      </c>
      <c r="K38" s="242" t="str">
        <f aca="false">IFERROR(VLOOKUP($I38,'Institution Evaluation'!$A$55:$F$346,3,0),IFERROR(VLOOKUP($I38,'Privacy Analyst Evaluation'!$A$46:$F$120,3,0),""))&amp;""</f>
        <v/>
      </c>
      <c r="L38" s="242" t="str">
        <f aca="false">IFERROR(VLOOKUP($I38,'Institution Evaluation'!$A$55:$F$346,4,0),IFERROR(VLOOKUP($I38,'Privacy Analyst Evaluation'!$A$46:$F$120,4,0),""))&amp;""</f>
        <v/>
      </c>
      <c r="M38" s="242" t="str">
        <f aca="false">IFERROR(VLOOKUP($I38,'Institution Evaluation'!$A$55:$F$346,6,0),IFERROR(VLOOKUP($I38,'Privacy Analyst Evaluation'!$A$46:$F$120,6,0),""))&amp;""</f>
        <v/>
      </c>
    </row>
    <row r="39" customFormat="false" ht="34.3" hidden="false" customHeight="false" outlineLevel="0" collapsed="false">
      <c r="A39" s="242" t="n">
        <f aca="false">IFERROR(IF($A38+1&gt;'(backend scoring)'!$T$335,"",$A38+1),"")</f>
        <v>15</v>
      </c>
      <c r="B39" s="242" t="str">
        <f aca="false">_xlfn.XLOOKUP($A39,'(backend scoring)'!$V$2:$V$333,'(backend scoring)'!$A$2:$A$333,"")</f>
        <v>CONS-04</v>
      </c>
      <c r="C39" s="242" t="str">
        <f aca="false">IFERROR(VLOOKUP($B39,'Institution Evaluation'!$A$55:$F$346,2,0),IFERROR(VLOOKUP($B39,'Privacy Analyst Evaluation'!$A$46:$F$120,2,0),""))&amp;""</f>
        <v>Can access be restricted based on source IP address?*</v>
      </c>
      <c r="D39" s="242" t="str">
        <f aca="false">IFERROR(VLOOKUP($B39,'Institution Evaluation'!$A$55:$F$346,3,0),IFERROR(VLOOKUP($B39,'Privacy Analyst Evaluation'!$A$46:$F$120,3,0),""))&amp;""</f>
        <v/>
      </c>
      <c r="E39" s="242" t="str">
        <f aca="false">IFERROR(VLOOKUP($B39,'Institution Evaluation'!$A$55:$F$346,4,0),IFERROR(VLOOKUP($B39,'Privacy Analyst Evaluation'!$A$46:$F$120,4,0),""))&amp;""</f>
        <v>This question does not apply.</v>
      </c>
      <c r="F39" s="242" t="str">
        <f aca="false">IFERROR(VLOOKUP($B39,'Institution Evaluation'!$A$55:$F$346,6,0),IFERROR(VLOOKUP($B39,'Privacy Analyst Evaluation'!$A$46:$F$120,6,0),""))&amp;""</f>
        <v/>
      </c>
      <c r="G39" s="243"/>
      <c r="H39" s="242" t="str">
        <f aca="false">IFERROR(IF($H38+1&gt;'(backend scoring)'!$Q$335,"",$H38+1),"")</f>
        <v/>
      </c>
      <c r="I39" s="242" t="str">
        <f aca="false">_xlfn.XLOOKUP($H39,'(backend scoring)'!$S$2:$S$333,'(backend scoring)'!$A$2:$A$333,"")</f>
        <v/>
      </c>
      <c r="J39" s="242" t="str">
        <f aca="false">IFERROR(VLOOKUP($I39,'Institution Evaluation'!$A$55:$F$346,2,0),IFERROR(VLOOKUP($I39,'Privacy Analyst Evaluation'!$A$46:$F$120,2,0),""))</f>
        <v/>
      </c>
      <c r="K39" s="242" t="str">
        <f aca="false">IFERROR(VLOOKUP($I39,'Institution Evaluation'!$A$55:$F$346,3,0),IFERROR(VLOOKUP($I39,'Privacy Analyst Evaluation'!$A$46:$F$120,3,0),""))&amp;""</f>
        <v/>
      </c>
      <c r="L39" s="242" t="str">
        <f aca="false">IFERROR(VLOOKUP($I39,'Institution Evaluation'!$A$55:$F$346,4,0),IFERROR(VLOOKUP($I39,'Privacy Analyst Evaluation'!$A$46:$F$120,4,0),""))&amp;""</f>
        <v/>
      </c>
      <c r="M39" s="242" t="str">
        <f aca="false">IFERROR(VLOOKUP($I39,'Institution Evaluation'!$A$55:$F$346,6,0),IFERROR(VLOOKUP($I39,'Privacy Analyst Evaluation'!$A$46:$F$120,6,0),""))&amp;""</f>
        <v/>
      </c>
    </row>
    <row r="40" customFormat="false" ht="116.4" hidden="false" customHeight="false" outlineLevel="0" collapsed="false">
      <c r="A40" s="242" t="n">
        <f aca="false">IFERROR(IF($A39+1&gt;'(backend scoring)'!$T$335,"",$A39+1),"")</f>
        <v>16</v>
      </c>
      <c r="B40" s="242" t="str">
        <f aca="false">_xlfn.XLOOKUP($A40,'(backend scoring)'!$V$2:$V$333,'(backend scoring)'!$A$2:$A$333,"")</f>
        <v>APPL-01</v>
      </c>
      <c r="C40" s="242" t="str">
        <f aca="false">IFERROR(VLOOKUP($B40,'Institution Evaluation'!$A$55:$F$346,2,0),IFERROR(VLOOKUP($B40,'Privacy Analyst Evaluation'!$A$46:$F$120,2,0),""))&amp;""</f>
        <v>Are access controls for institutional accounts based on structured rules, such as role-based access control (RBAC), attribute-based access control (ABAC), or policy-based access control (PBAC)?*</v>
      </c>
      <c r="D40" s="242" t="str">
        <f aca="false">IFERROR(VLOOKUP($B40,'Institution Evaluation'!$A$55:$F$346,3,0),IFERROR(VLOOKUP($B40,'Privacy Analyst Evaluation'!$A$46:$F$120,3,0),""))&amp;""</f>
        <v/>
      </c>
      <c r="E40" s="242" t="str">
        <f aca="false">IFERROR(VLOOKUP($B40,'Institution Evaluation'!$A$55:$F$346,4,0),IFERROR(VLOOKUP($B40,'Privacy Analyst Evaluation'!$A$46:$F$120,4,0),""))&amp;""</f>
        <v>This question does not apply.</v>
      </c>
      <c r="F40" s="242" t="str">
        <f aca="false">IFERROR(VLOOKUP($B40,'Institution Evaluation'!$A$55:$F$346,6,0),IFERROR(VLOOKUP($B40,'Privacy Analyst Evaluation'!$A$46:$F$120,6,0),""))&amp;""</f>
        <v/>
      </c>
      <c r="G40" s="243"/>
      <c r="H40" s="242" t="str">
        <f aca="false">IFERROR(IF($H39+1&gt;'(backend scoring)'!$Q$335,"",$H39+1),"")</f>
        <v/>
      </c>
      <c r="I40" s="242" t="str">
        <f aca="false">_xlfn.XLOOKUP($H40,'(backend scoring)'!$S$2:$S$333,'(backend scoring)'!$A$2:$A$333,"")</f>
        <v/>
      </c>
      <c r="J40" s="242" t="str">
        <f aca="false">IFERROR(VLOOKUP($I40,'Institution Evaluation'!$A$55:$F$346,2,0),IFERROR(VLOOKUP($I40,'Privacy Analyst Evaluation'!$A$46:$F$120,2,0),""))</f>
        <v/>
      </c>
      <c r="K40" s="242" t="str">
        <f aca="false">IFERROR(VLOOKUP($I40,'Institution Evaluation'!$A$55:$F$346,3,0),IFERROR(VLOOKUP($I40,'Privacy Analyst Evaluation'!$A$46:$F$120,3,0),""))&amp;""</f>
        <v/>
      </c>
      <c r="L40" s="242" t="str">
        <f aca="false">IFERROR(VLOOKUP($I40,'Institution Evaluation'!$A$55:$F$346,4,0),IFERROR(VLOOKUP($I40,'Privacy Analyst Evaluation'!$A$46:$F$120,4,0),""))&amp;""</f>
        <v/>
      </c>
      <c r="M40" s="242" t="str">
        <f aca="false">IFERROR(VLOOKUP($I40,'Institution Evaluation'!$A$55:$F$346,6,0),IFERROR(VLOOKUP($I40,'Privacy Analyst Evaluation'!$A$46:$F$120,6,0),""))&amp;""</f>
        <v/>
      </c>
    </row>
    <row r="41" customFormat="false" ht="34.3" hidden="false" customHeight="false" outlineLevel="0" collapsed="false">
      <c r="A41" s="242" t="n">
        <f aca="false">IFERROR(IF($A40+1&gt;'(backend scoring)'!$T$335,"",$A40+1),"")</f>
        <v>17</v>
      </c>
      <c r="B41" s="242" t="str">
        <f aca="false">_xlfn.XLOOKUP($A41,'(backend scoring)'!$V$2:$V$333,'(backend scoring)'!$A$2:$A$333,"")</f>
        <v>APPL-02</v>
      </c>
      <c r="C41" s="242" t="str">
        <f aca="false">IFERROR(VLOOKUP($B41,'Institution Evaluation'!$A$55:$F$346,2,0),IFERROR(VLOOKUP($B41,'Privacy Analyst Evaluation'!$A$46:$F$120,2,0),""))&amp;""</f>
        <v>Are you using a web application firewall (WAF)?*</v>
      </c>
      <c r="D41" s="242" t="str">
        <f aca="false">IFERROR(VLOOKUP($B41,'Institution Evaluation'!$A$55:$F$346,3,0),IFERROR(VLOOKUP($B41,'Privacy Analyst Evaluation'!$A$46:$F$120,3,0),""))&amp;""</f>
        <v/>
      </c>
      <c r="E41" s="242" t="str">
        <f aca="false">IFERROR(VLOOKUP($B41,'Institution Evaluation'!$A$55:$F$346,4,0),IFERROR(VLOOKUP($B41,'Privacy Analyst Evaluation'!$A$46:$F$120,4,0),""))&amp;""</f>
        <v>This question does not apply.</v>
      </c>
      <c r="F41" s="242" t="str">
        <f aca="false">IFERROR(VLOOKUP($B41,'Institution Evaluation'!$A$55:$F$346,6,0),IFERROR(VLOOKUP($B41,'Privacy Analyst Evaluation'!$A$46:$F$120,6,0),""))&amp;""</f>
        <v/>
      </c>
      <c r="G41" s="243"/>
      <c r="H41" s="242" t="str">
        <f aca="false">IFERROR(IF($H40+1&gt;'(backend scoring)'!$Q$335,"",$H40+1),"")</f>
        <v/>
      </c>
      <c r="I41" s="242" t="str">
        <f aca="false">_xlfn.XLOOKUP($H41,'(backend scoring)'!$S$2:$S$333,'(backend scoring)'!$A$2:$A$333,"")</f>
        <v/>
      </c>
      <c r="J41" s="242" t="str">
        <f aca="false">IFERROR(VLOOKUP($I41,'Institution Evaluation'!$A$55:$F$346,2,0),IFERROR(VLOOKUP($I41,'Privacy Analyst Evaluation'!$A$46:$F$120,2,0),""))</f>
        <v/>
      </c>
      <c r="K41" s="242" t="str">
        <f aca="false">IFERROR(VLOOKUP($I41,'Institution Evaluation'!$A$55:$F$346,3,0),IFERROR(VLOOKUP($I41,'Privacy Analyst Evaluation'!$A$46:$F$120,3,0),""))&amp;""</f>
        <v/>
      </c>
      <c r="L41" s="242" t="str">
        <f aca="false">IFERROR(VLOOKUP($I41,'Institution Evaluation'!$A$55:$F$346,4,0),IFERROR(VLOOKUP($I41,'Privacy Analyst Evaluation'!$A$46:$F$120,4,0),""))&amp;""</f>
        <v/>
      </c>
      <c r="M41" s="242" t="str">
        <f aca="false">IFERROR(VLOOKUP($I41,'Institution Evaluation'!$A$55:$F$346,6,0),IFERROR(VLOOKUP($I41,'Privacy Analyst Evaluation'!$A$46:$F$120,6,0),""))&amp;""</f>
        <v/>
      </c>
    </row>
    <row r="42" customFormat="false" ht="99.95" hidden="false" customHeight="false" outlineLevel="0" collapsed="false">
      <c r="A42" s="242" t="n">
        <f aca="false">IFERROR(IF($A41+1&gt;'(backend scoring)'!$T$335,"",$A41+1),"")</f>
        <v>18</v>
      </c>
      <c r="B42" s="242" t="str">
        <f aca="false">_xlfn.XLOOKUP($A42,'(backend scoring)'!$V$2:$V$333,'(backend scoring)'!$A$2:$A$333,"")</f>
        <v>APPL-03</v>
      </c>
      <c r="C42" s="242" t="str">
        <f aca="false">IFERROR(VLOOKUP($B42,'Institution Evaluation'!$A$55:$F$346,2,0),IFERROR(VLOOKUP($B42,'Privacy Analyst Evaluation'!$A$46:$F$120,2,0),""))&amp;""</f>
        <v>Are only currently supported operating system(s), software, and libraries leveraged by the system(s)/application(s) that will have access to institution's data?*</v>
      </c>
      <c r="D42" s="242" t="str">
        <f aca="false">IFERROR(VLOOKUP($B42,'Institution Evaluation'!$A$55:$F$346,3,0),IFERROR(VLOOKUP($B42,'Privacy Analyst Evaluation'!$A$46:$F$120,3,0),""))&amp;""</f>
        <v/>
      </c>
      <c r="E42" s="242" t="str">
        <f aca="false">IFERROR(VLOOKUP($B42,'Institution Evaluation'!$A$55:$F$346,4,0),IFERROR(VLOOKUP($B42,'Privacy Analyst Evaluation'!$A$46:$F$120,4,0),""))&amp;""</f>
        <v>This question does not apply.</v>
      </c>
      <c r="F42" s="242" t="str">
        <f aca="false">IFERROR(VLOOKUP($B42,'Institution Evaluation'!$A$55:$F$346,6,0),IFERROR(VLOOKUP($B42,'Privacy Analyst Evaluation'!$A$46:$F$120,6,0),""))&amp;""</f>
        <v/>
      </c>
      <c r="G42" s="243"/>
      <c r="H42" s="242" t="str">
        <f aca="false">IFERROR(IF($H41+1&gt;'(backend scoring)'!$Q$335,"",$H41+1),"")</f>
        <v/>
      </c>
      <c r="I42" s="242" t="str">
        <f aca="false">_xlfn.XLOOKUP($H42,'(backend scoring)'!$S$2:$S$333,'(backend scoring)'!$A$2:$A$333,"")</f>
        <v/>
      </c>
      <c r="J42" s="242" t="str">
        <f aca="false">IFERROR(VLOOKUP($I42,'Institution Evaluation'!$A$55:$F$346,2,0),IFERROR(VLOOKUP($I42,'Privacy Analyst Evaluation'!$A$46:$F$120,2,0),""))</f>
        <v/>
      </c>
      <c r="K42" s="242" t="str">
        <f aca="false">IFERROR(VLOOKUP($I42,'Institution Evaluation'!$A$55:$F$346,3,0),IFERROR(VLOOKUP($I42,'Privacy Analyst Evaluation'!$A$46:$F$120,3,0),""))&amp;""</f>
        <v/>
      </c>
      <c r="L42" s="242" t="str">
        <f aca="false">IFERROR(VLOOKUP($I42,'Institution Evaluation'!$A$55:$F$346,4,0),IFERROR(VLOOKUP($I42,'Privacy Analyst Evaluation'!$A$46:$F$120,4,0),""))&amp;""</f>
        <v/>
      </c>
      <c r="M42" s="242" t="str">
        <f aca="false">IFERROR(VLOOKUP($I42,'Institution Evaluation'!$A$55:$F$346,6,0),IFERROR(VLOOKUP($I42,'Privacy Analyst Evaluation'!$A$46:$F$120,6,0),""))&amp;""</f>
        <v/>
      </c>
    </row>
    <row r="43" customFormat="false" ht="34.3" hidden="false" customHeight="false" outlineLevel="0" collapsed="false">
      <c r="A43" s="242" t="n">
        <f aca="false">IFERROR(IF($A42+1&gt;'(backend scoring)'!$T$335,"",$A42+1),"")</f>
        <v>19</v>
      </c>
      <c r="B43" s="242" t="str">
        <f aca="false">_xlfn.XLOOKUP($A43,'(backend scoring)'!$V$2:$V$333,'(backend scoring)'!$A$2:$A$333,"")</f>
        <v>APPL-04</v>
      </c>
      <c r="C43" s="242" t="str">
        <f aca="false">IFERROR(VLOOKUP($B43,'Institution Evaluation'!$A$55:$F$346,2,0),IFERROR(VLOOKUP($B43,'Privacy Analyst Evaluation'!$A$46:$F$120,2,0),""))&amp;""</f>
        <v>Does your application require access to location or GPS data?*</v>
      </c>
      <c r="D43" s="242" t="str">
        <f aca="false">IFERROR(VLOOKUP($B43,'Institution Evaluation'!$A$55:$F$346,3,0),IFERROR(VLOOKUP($B43,'Privacy Analyst Evaluation'!$A$46:$F$120,3,0),""))&amp;""</f>
        <v/>
      </c>
      <c r="E43" s="242" t="str">
        <f aca="false">IFERROR(VLOOKUP($B43,'Institution Evaluation'!$A$55:$F$346,4,0),IFERROR(VLOOKUP($B43,'Privacy Analyst Evaluation'!$A$46:$F$120,4,0),""))&amp;""</f>
        <v>This question does not apply.</v>
      </c>
      <c r="F43" s="242" t="str">
        <f aca="false">IFERROR(VLOOKUP($B43,'Institution Evaluation'!$A$55:$F$346,6,0),IFERROR(VLOOKUP($B43,'Privacy Analyst Evaluation'!$A$46:$F$120,6,0),""))&amp;""</f>
        <v/>
      </c>
      <c r="G43" s="243"/>
      <c r="H43" s="242" t="str">
        <f aca="false">IFERROR(IF($H42+1&gt;'(backend scoring)'!$Q$335,"",$H42+1),"")</f>
        <v/>
      </c>
      <c r="I43" s="242" t="str">
        <f aca="false">_xlfn.XLOOKUP($H43,'(backend scoring)'!$S$2:$S$333,'(backend scoring)'!$A$2:$A$333,"")</f>
        <v/>
      </c>
      <c r="J43" s="242" t="str">
        <f aca="false">IFERROR(VLOOKUP($I43,'Institution Evaluation'!$A$55:$F$346,2,0),IFERROR(VLOOKUP($I43,'Privacy Analyst Evaluation'!$A$46:$F$120,2,0),""))</f>
        <v/>
      </c>
      <c r="K43" s="242" t="str">
        <f aca="false">IFERROR(VLOOKUP($I43,'Institution Evaluation'!$A$55:$F$346,3,0),IFERROR(VLOOKUP($I43,'Privacy Analyst Evaluation'!$A$46:$F$120,3,0),""))&amp;""</f>
        <v/>
      </c>
      <c r="L43" s="242" t="str">
        <f aca="false">IFERROR(VLOOKUP($I43,'Institution Evaluation'!$A$55:$F$346,4,0),IFERROR(VLOOKUP($I43,'Privacy Analyst Evaluation'!$A$46:$F$120,4,0),""))&amp;""</f>
        <v/>
      </c>
      <c r="M43" s="242" t="str">
        <f aca="false">IFERROR(VLOOKUP($I43,'Institution Evaluation'!$A$55:$F$346,6,0),IFERROR(VLOOKUP($I43,'Privacy Analyst Evaluation'!$A$46:$F$120,6,0),""))&amp;""</f>
        <v/>
      </c>
    </row>
    <row r="44" customFormat="false" ht="83.55" hidden="false" customHeight="false" outlineLevel="0" collapsed="false">
      <c r="A44" s="242" t="n">
        <f aca="false">IFERROR(IF($A43+1&gt;'(backend scoring)'!$T$335,"",$A43+1),"")</f>
        <v>20</v>
      </c>
      <c r="B44" s="242" t="str">
        <f aca="false">_xlfn.XLOOKUP($A44,'(backend scoring)'!$V$2:$V$333,'(backend scoring)'!$A$2:$A$333,"")</f>
        <v>APPL-05</v>
      </c>
      <c r="C44" s="242" t="str">
        <f aca="false">IFERROR(VLOOKUP($B44,'Institution Evaluation'!$A$55:$F$346,2,0),IFERROR(VLOOKUP($B44,'Privacy Analyst Evaluation'!$A$46:$F$120,2,0),""))&amp;""</f>
        <v>Does your application provide separation of duties between security administration, system administration, and standard user functions?*</v>
      </c>
      <c r="D44" s="242" t="str">
        <f aca="false">IFERROR(VLOOKUP($B44,'Institution Evaluation'!$A$55:$F$346,3,0),IFERROR(VLOOKUP($B44,'Privacy Analyst Evaluation'!$A$46:$F$120,3,0),""))&amp;""</f>
        <v/>
      </c>
      <c r="E44" s="242" t="str">
        <f aca="false">IFERROR(VLOOKUP($B44,'Institution Evaluation'!$A$55:$F$346,4,0),IFERROR(VLOOKUP($B44,'Privacy Analyst Evaluation'!$A$46:$F$120,4,0),""))&amp;""</f>
        <v>This question does not apply.</v>
      </c>
      <c r="F44" s="242" t="str">
        <f aca="false">IFERROR(VLOOKUP($B44,'Institution Evaluation'!$A$55:$F$346,6,0),IFERROR(VLOOKUP($B44,'Privacy Analyst Evaluation'!$A$46:$F$120,6,0),""))&amp;""</f>
        <v/>
      </c>
      <c r="G44" s="243"/>
      <c r="H44" s="242" t="str">
        <f aca="false">IFERROR(IF($H43+1&gt;'(backend scoring)'!$Q$335,"",$H43+1),"")</f>
        <v/>
      </c>
      <c r="I44" s="242" t="str">
        <f aca="false">_xlfn.XLOOKUP($H44,'(backend scoring)'!$S$2:$S$333,'(backend scoring)'!$A$2:$A$333,"")</f>
        <v/>
      </c>
      <c r="J44" s="242" t="str">
        <f aca="false">IFERROR(VLOOKUP($I44,'Institution Evaluation'!$A$55:$F$346,2,0),IFERROR(VLOOKUP($I44,'Privacy Analyst Evaluation'!$A$46:$F$120,2,0),""))</f>
        <v/>
      </c>
      <c r="K44" s="242" t="str">
        <f aca="false">IFERROR(VLOOKUP($I44,'Institution Evaluation'!$A$55:$F$346,3,0),IFERROR(VLOOKUP($I44,'Privacy Analyst Evaluation'!$A$46:$F$120,3,0),""))&amp;""</f>
        <v/>
      </c>
      <c r="L44" s="242" t="str">
        <f aca="false">IFERROR(VLOOKUP($I44,'Institution Evaluation'!$A$55:$F$346,4,0),IFERROR(VLOOKUP($I44,'Privacy Analyst Evaluation'!$A$46:$F$120,4,0),""))&amp;""</f>
        <v/>
      </c>
      <c r="M44" s="242" t="str">
        <f aca="false">IFERROR(VLOOKUP($I44,'Institution Evaluation'!$A$55:$F$346,6,0),IFERROR(VLOOKUP($I44,'Privacy Analyst Evaluation'!$A$46:$F$120,6,0),""))&amp;""</f>
        <v/>
      </c>
    </row>
    <row r="45" customFormat="false" ht="67.15" hidden="false" customHeight="false" outlineLevel="0" collapsed="false">
      <c r="A45" s="242" t="n">
        <f aca="false">IFERROR(IF($A44+1&gt;'(backend scoring)'!$T$335,"",$A44+1),"")</f>
        <v>21</v>
      </c>
      <c r="B45" s="242" t="str">
        <f aca="false">_xlfn.XLOOKUP($A45,'(backend scoring)'!$V$2:$V$333,'(backend scoring)'!$A$2:$A$333,"")</f>
        <v>APPL-06</v>
      </c>
      <c r="C45" s="242" t="str">
        <f aca="false">IFERROR(VLOOKUP($B45,'Institution Evaluation'!$A$55:$F$346,2,0),IFERROR(VLOOKUP($B45,'Privacy Analyst Evaluation'!$A$46:$F$120,2,0),""))&amp;""</f>
        <v>Do you subject your code to static code analysis and/or static application security testing prior to release?*</v>
      </c>
      <c r="D45" s="242" t="str">
        <f aca="false">IFERROR(VLOOKUP($B45,'Institution Evaluation'!$A$55:$F$346,3,0),IFERROR(VLOOKUP($B45,'Privacy Analyst Evaluation'!$A$46:$F$120,3,0),""))&amp;""</f>
        <v/>
      </c>
      <c r="E45" s="242" t="str">
        <f aca="false">IFERROR(VLOOKUP($B45,'Institution Evaluation'!$A$55:$F$346,4,0),IFERROR(VLOOKUP($B45,'Privacy Analyst Evaluation'!$A$46:$F$120,4,0),""))&amp;""</f>
        <v>This question does not apply.</v>
      </c>
      <c r="F45" s="242" t="str">
        <f aca="false">IFERROR(VLOOKUP($B45,'Institution Evaluation'!$A$55:$F$346,6,0),IFERROR(VLOOKUP($B45,'Privacy Analyst Evaluation'!$A$46:$F$120,6,0),""))&amp;""</f>
        <v/>
      </c>
      <c r="G45" s="243"/>
      <c r="H45" s="242" t="str">
        <f aca="false">IFERROR(IF($H44+1&gt;'(backend scoring)'!$Q$335,"",$H44+1),"")</f>
        <v/>
      </c>
      <c r="I45" s="242" t="str">
        <f aca="false">_xlfn.XLOOKUP($H45,'(backend scoring)'!$S$2:$S$333,'(backend scoring)'!$A$2:$A$333,"")</f>
        <v/>
      </c>
      <c r="J45" s="242" t="str">
        <f aca="false">IFERROR(VLOOKUP($I45,'Institution Evaluation'!$A$55:$F$346,2,0),IFERROR(VLOOKUP($I45,'Privacy Analyst Evaluation'!$A$46:$F$120,2,0),""))</f>
        <v/>
      </c>
      <c r="K45" s="242" t="str">
        <f aca="false">IFERROR(VLOOKUP($I45,'Institution Evaluation'!$A$55:$F$346,3,0),IFERROR(VLOOKUP($I45,'Privacy Analyst Evaluation'!$A$46:$F$120,3,0),""))&amp;""</f>
        <v/>
      </c>
      <c r="L45" s="242" t="str">
        <f aca="false">IFERROR(VLOOKUP($I45,'Institution Evaluation'!$A$55:$F$346,4,0),IFERROR(VLOOKUP($I45,'Privacy Analyst Evaluation'!$A$46:$F$120,4,0),""))&amp;""</f>
        <v/>
      </c>
      <c r="M45" s="242" t="str">
        <f aca="false">IFERROR(VLOOKUP($I45,'Institution Evaluation'!$A$55:$F$346,6,0),IFERROR(VLOOKUP($I45,'Privacy Analyst Evaluation'!$A$46:$F$120,6,0),""))&amp;""</f>
        <v/>
      </c>
    </row>
    <row r="46" customFormat="false" ht="67.15" hidden="false" customHeight="false" outlineLevel="0" collapsed="false">
      <c r="A46" s="242" t="n">
        <f aca="false">IFERROR(IF($A45+1&gt;'(backend scoring)'!$T$335,"",$A45+1),"")</f>
        <v>22</v>
      </c>
      <c r="B46" s="242" t="str">
        <f aca="false">_xlfn.XLOOKUP($A46,'(backend scoring)'!$V$2:$V$333,'(backend scoring)'!$A$2:$A$333,"")</f>
        <v>APPL-07</v>
      </c>
      <c r="C46" s="242" t="str">
        <f aca="false">IFERROR(VLOOKUP($B46,'Institution Evaluation'!$A$55:$F$346,2,0),IFERROR(VLOOKUP($B46,'Privacy Analyst Evaluation'!$A$46:$F$120,2,0),""))&amp;""</f>
        <v>Do you have software testing processes (dynamic or static) that are established and followed?*</v>
      </c>
      <c r="D46" s="242" t="str">
        <f aca="false">IFERROR(VLOOKUP($B46,'Institution Evaluation'!$A$55:$F$346,3,0),IFERROR(VLOOKUP($B46,'Privacy Analyst Evaluation'!$A$46:$F$120,3,0),""))&amp;""</f>
        <v/>
      </c>
      <c r="E46" s="242" t="str">
        <f aca="false">IFERROR(VLOOKUP($B46,'Institution Evaluation'!$A$55:$F$346,4,0),IFERROR(VLOOKUP($B46,'Privacy Analyst Evaluation'!$A$46:$F$120,4,0),""))&amp;""</f>
        <v>This question does not apply.</v>
      </c>
      <c r="F46" s="242" t="str">
        <f aca="false">IFERROR(VLOOKUP($B46,'Institution Evaluation'!$A$55:$F$346,6,0),IFERROR(VLOOKUP($B46,'Privacy Analyst Evaluation'!$A$46:$F$120,6,0),""))&amp;""</f>
        <v/>
      </c>
      <c r="G46" s="243"/>
      <c r="H46" s="242" t="str">
        <f aca="false">IFERROR(IF($H45+1&gt;'(backend scoring)'!$Q$335,"",$H45+1),"")</f>
        <v/>
      </c>
      <c r="I46" s="242" t="str">
        <f aca="false">_xlfn.XLOOKUP($H46,'(backend scoring)'!$S$2:$S$333,'(backend scoring)'!$A$2:$A$333,"")</f>
        <v/>
      </c>
      <c r="J46" s="242" t="str">
        <f aca="false">IFERROR(VLOOKUP($I46,'Institution Evaluation'!$A$55:$F$346,2,0),IFERROR(VLOOKUP($I46,'Privacy Analyst Evaluation'!$A$46:$F$120,2,0),""))</f>
        <v/>
      </c>
      <c r="K46" s="242" t="str">
        <f aca="false">IFERROR(VLOOKUP($I46,'Institution Evaluation'!$A$55:$F$346,3,0),IFERROR(VLOOKUP($I46,'Privacy Analyst Evaluation'!$A$46:$F$120,3,0),""))&amp;""</f>
        <v/>
      </c>
      <c r="L46" s="242" t="str">
        <f aca="false">IFERROR(VLOOKUP($I46,'Institution Evaluation'!$A$55:$F$346,4,0),IFERROR(VLOOKUP($I46,'Privacy Analyst Evaluation'!$A$46:$F$120,4,0),""))&amp;""</f>
        <v/>
      </c>
      <c r="M46" s="242" t="str">
        <f aca="false">IFERROR(VLOOKUP($I46,'Institution Evaluation'!$A$55:$F$346,6,0),IFERROR(VLOOKUP($I46,'Privacy Analyst Evaluation'!$A$46:$F$120,6,0),""))&amp;""</f>
        <v/>
      </c>
    </row>
    <row r="47" customFormat="false" ht="67.15" hidden="false" customHeight="false" outlineLevel="0" collapsed="false">
      <c r="A47" s="242" t="n">
        <f aca="false">IFERROR(IF($A46+1&gt;'(backend scoring)'!$T$335,"",$A46+1),"")</f>
        <v>23</v>
      </c>
      <c r="B47" s="242" t="str">
        <f aca="false">_xlfn.XLOOKUP($A47,'(backend scoring)'!$V$2:$V$333,'(backend scoring)'!$A$2:$A$333,"")</f>
        <v>AAAI-01</v>
      </c>
      <c r="C47" s="242" t="str">
        <f aca="false">IFERROR(VLOOKUP($B47,'Institution Evaluation'!$A$55:$F$346,2,0),IFERROR(VLOOKUP($B47,'Privacy Analyst Evaluation'!$A$46:$F$120,2,0),""))&amp;""</f>
        <v>Does your solution support single sign-on (SSO) protocols for user and administrator authentication?*</v>
      </c>
      <c r="D47" s="242" t="str">
        <f aca="false">IFERROR(VLOOKUP($B47,'Institution Evaluation'!$A$55:$F$346,3,0),IFERROR(VLOOKUP($B47,'Privacy Analyst Evaluation'!$A$46:$F$120,3,0),""))&amp;""</f>
        <v/>
      </c>
      <c r="E47" s="242" t="str">
        <f aca="false">IFERROR(VLOOKUP($B47,'Institution Evaluation'!$A$55:$F$346,4,0),IFERROR(VLOOKUP($B47,'Privacy Analyst Evaluation'!$A$46:$F$120,4,0),""))&amp;""</f>
        <v>This question does not apply.</v>
      </c>
      <c r="F47" s="242" t="str">
        <f aca="false">IFERROR(VLOOKUP($B47,'Institution Evaluation'!$A$55:$F$346,6,0),IFERROR(VLOOKUP($B47,'Privacy Analyst Evaluation'!$A$46:$F$120,6,0),""))&amp;""</f>
        <v/>
      </c>
      <c r="G47" s="243"/>
      <c r="H47" s="242" t="str">
        <f aca="false">IFERROR(IF($H46+1&gt;'(backend scoring)'!$Q$335,"",$H46+1),"")</f>
        <v/>
      </c>
      <c r="I47" s="242" t="str">
        <f aca="false">_xlfn.XLOOKUP($H47,'(backend scoring)'!$S$2:$S$333,'(backend scoring)'!$A$2:$A$333,"")</f>
        <v/>
      </c>
      <c r="J47" s="242" t="str">
        <f aca="false">IFERROR(VLOOKUP($I47,'Institution Evaluation'!$A$55:$F$346,2,0),IFERROR(VLOOKUP($I47,'Privacy Analyst Evaluation'!$A$46:$F$120,2,0),""))</f>
        <v/>
      </c>
      <c r="K47" s="242" t="str">
        <f aca="false">IFERROR(VLOOKUP($I47,'Institution Evaluation'!$A$55:$F$346,3,0),IFERROR(VLOOKUP($I47,'Privacy Analyst Evaluation'!$A$46:$F$120,3,0),""))&amp;""</f>
        <v/>
      </c>
      <c r="L47" s="242" t="str">
        <f aca="false">IFERROR(VLOOKUP($I47,'Institution Evaluation'!$A$55:$F$346,4,0),IFERROR(VLOOKUP($I47,'Privacy Analyst Evaluation'!$A$46:$F$120,4,0),""))&amp;""</f>
        <v/>
      </c>
      <c r="M47" s="242" t="str">
        <f aca="false">IFERROR(VLOOKUP($I47,'Institution Evaluation'!$A$55:$F$346,6,0),IFERROR(VLOOKUP($I47,'Privacy Analyst Evaluation'!$A$46:$F$120,6,0),""))&amp;""</f>
        <v/>
      </c>
    </row>
    <row r="48" customFormat="false" ht="83.55" hidden="false" customHeight="false" outlineLevel="0" collapsed="false">
      <c r="A48" s="242" t="n">
        <f aca="false">IFERROR(IF($A47+1&gt;'(backend scoring)'!$T$335,"",$A47+1),"")</f>
        <v>24</v>
      </c>
      <c r="B48" s="242" t="str">
        <f aca="false">_xlfn.XLOOKUP($A48,'(backend scoring)'!$V$2:$V$333,'(backend scoring)'!$A$2:$A$333,"")</f>
        <v>AAAI-02</v>
      </c>
      <c r="C48" s="242" t="str">
        <f aca="false">IFERROR(VLOOKUP($B48,'Institution Evaluation'!$A$55:$F$346,2,0),IFERROR(VLOOKUP($B48,'Privacy Analyst Evaluation'!$A$46:$F$120,2,0),""))&amp;""</f>
        <v>For customers not using SSO, does your solution support local authentication protocols for user and administrator authentication?*</v>
      </c>
      <c r="D48" s="242" t="str">
        <f aca="false">IFERROR(VLOOKUP($B48,'Institution Evaluation'!$A$55:$F$346,3,0),IFERROR(VLOOKUP($B48,'Privacy Analyst Evaluation'!$A$46:$F$120,3,0),""))&amp;""</f>
        <v/>
      </c>
      <c r="E48" s="242" t="str">
        <f aca="false">IFERROR(VLOOKUP($B48,'Institution Evaluation'!$A$55:$F$346,4,0),IFERROR(VLOOKUP($B48,'Privacy Analyst Evaluation'!$A$46:$F$120,4,0),""))&amp;""</f>
        <v>This question does not apply.</v>
      </c>
      <c r="F48" s="242" t="str">
        <f aca="false">IFERROR(VLOOKUP($B48,'Institution Evaluation'!$A$55:$F$346,6,0),IFERROR(VLOOKUP($B48,'Privacy Analyst Evaluation'!$A$46:$F$120,6,0),""))&amp;""</f>
        <v/>
      </c>
      <c r="G48" s="243"/>
      <c r="H48" s="242" t="str">
        <f aca="false">IFERROR(IF($H47+1&gt;'(backend scoring)'!$Q$335,"",$H47+1),"")</f>
        <v/>
      </c>
      <c r="I48" s="242" t="str">
        <f aca="false">_xlfn.XLOOKUP($H48,'(backend scoring)'!$S$2:$S$333,'(backend scoring)'!$A$2:$A$333,"")</f>
        <v/>
      </c>
      <c r="J48" s="242" t="str">
        <f aca="false">IFERROR(VLOOKUP($I48,'Institution Evaluation'!$A$55:$F$346,2,0),IFERROR(VLOOKUP($I48,'Privacy Analyst Evaluation'!$A$46:$F$120,2,0),""))</f>
        <v/>
      </c>
      <c r="K48" s="242" t="str">
        <f aca="false">IFERROR(VLOOKUP($I48,'Institution Evaluation'!$A$55:$F$346,3,0),IFERROR(VLOOKUP($I48,'Privacy Analyst Evaluation'!$A$46:$F$120,3,0),""))&amp;""</f>
        <v/>
      </c>
      <c r="L48" s="242" t="str">
        <f aca="false">IFERROR(VLOOKUP($I48,'Institution Evaluation'!$A$55:$F$346,4,0),IFERROR(VLOOKUP($I48,'Privacy Analyst Evaluation'!$A$46:$F$120,4,0),""))&amp;""</f>
        <v/>
      </c>
      <c r="M48" s="242" t="str">
        <f aca="false">IFERROR(VLOOKUP($I48,'Institution Evaluation'!$A$55:$F$346,6,0),IFERROR(VLOOKUP($I48,'Privacy Analyst Evaluation'!$A$46:$F$120,6,0),""))&amp;""</f>
        <v/>
      </c>
    </row>
    <row r="49" customFormat="false" ht="83.55" hidden="false" customHeight="false" outlineLevel="0" collapsed="false">
      <c r="A49" s="242" t="n">
        <f aca="false">IFERROR(IF($A48+1&gt;'(backend scoring)'!$T$335,"",$A48+1),"")</f>
        <v>25</v>
      </c>
      <c r="B49" s="242" t="str">
        <f aca="false">_xlfn.XLOOKUP($A49,'(backend scoring)'!$V$2:$V$333,'(backend scoring)'!$A$2:$A$333,"")</f>
        <v>AAAI-03</v>
      </c>
      <c r="C49" s="242" t="str">
        <f aca="false">IFERROR(VLOOKUP($B49,'Institution Evaluation'!$A$55:$F$346,2,0),IFERROR(VLOOKUP($B49,'Privacy Analyst Evaluation'!$A$46:$F$120,2,0),""))&amp;""</f>
        <v>For customers not using SSO, can you enforce password/passphrase complexity requirements (provided by the institution)?*</v>
      </c>
      <c r="D49" s="242" t="str">
        <f aca="false">IFERROR(VLOOKUP($B49,'Institution Evaluation'!$A$55:$F$346,3,0),IFERROR(VLOOKUP($B49,'Privacy Analyst Evaluation'!$A$46:$F$120,3,0),""))&amp;""</f>
        <v/>
      </c>
      <c r="E49" s="242" t="str">
        <f aca="false">IFERROR(VLOOKUP($B49,'Institution Evaluation'!$A$55:$F$346,4,0),IFERROR(VLOOKUP($B49,'Privacy Analyst Evaluation'!$A$46:$F$120,4,0),""))&amp;""</f>
        <v>This question does not apply.</v>
      </c>
      <c r="F49" s="242" t="str">
        <f aca="false">IFERROR(VLOOKUP($B49,'Institution Evaluation'!$A$55:$F$346,6,0),IFERROR(VLOOKUP($B49,'Privacy Analyst Evaluation'!$A$46:$F$120,6,0),""))&amp;""</f>
        <v/>
      </c>
      <c r="G49" s="243"/>
      <c r="H49" s="242" t="str">
        <f aca="false">IFERROR(IF($H48+1&gt;'(backend scoring)'!$Q$335,"",$H48+1),"")</f>
        <v/>
      </c>
      <c r="I49" s="242" t="str">
        <f aca="false">_xlfn.XLOOKUP($H49,'(backend scoring)'!$S$2:$S$333,'(backend scoring)'!$A$2:$A$333,"")</f>
        <v/>
      </c>
      <c r="J49" s="242" t="str">
        <f aca="false">IFERROR(VLOOKUP($I49,'Institution Evaluation'!$A$55:$F$346,2,0),IFERROR(VLOOKUP($I49,'Privacy Analyst Evaluation'!$A$46:$F$120,2,0),""))</f>
        <v/>
      </c>
      <c r="K49" s="242" t="str">
        <f aca="false">IFERROR(VLOOKUP($I49,'Institution Evaluation'!$A$55:$F$346,3,0),IFERROR(VLOOKUP($I49,'Privacy Analyst Evaluation'!$A$46:$F$120,3,0),""))&amp;""</f>
        <v/>
      </c>
      <c r="L49" s="242" t="str">
        <f aca="false">IFERROR(VLOOKUP($I49,'Institution Evaluation'!$A$55:$F$346,4,0),IFERROR(VLOOKUP($I49,'Privacy Analyst Evaluation'!$A$46:$F$120,4,0),""))&amp;""</f>
        <v/>
      </c>
      <c r="M49" s="242" t="str">
        <f aca="false">IFERROR(VLOOKUP($I49,'Institution Evaluation'!$A$55:$F$346,6,0),IFERROR(VLOOKUP($I49,'Privacy Analyst Evaluation'!$A$46:$F$120,6,0),""))&amp;""</f>
        <v/>
      </c>
    </row>
    <row r="50" customFormat="false" ht="67.15" hidden="false" customHeight="false" outlineLevel="0" collapsed="false">
      <c r="A50" s="242" t="n">
        <f aca="false">IFERROR(IF($A49+1&gt;'(backend scoring)'!$T$335,"",$A49+1),"")</f>
        <v>26</v>
      </c>
      <c r="B50" s="242" t="str">
        <f aca="false">_xlfn.XLOOKUP($A50,'(backend scoring)'!$V$2:$V$333,'(backend scoring)'!$A$2:$A$333,"")</f>
        <v>AAAI-04</v>
      </c>
      <c r="C50" s="242" t="str">
        <f aca="false">IFERROR(VLOOKUP($B50,'Institution Evaluation'!$A$55:$F$346,2,0),IFERROR(VLOOKUP($B50,'Privacy Analyst Evaluation'!$A$46:$F$120,2,0),""))&amp;""</f>
        <v>For customers not using SSO, does the system have password complexity or length limitations and/or restrictions?*</v>
      </c>
      <c r="D50" s="242" t="str">
        <f aca="false">IFERROR(VLOOKUP($B50,'Institution Evaluation'!$A$55:$F$346,3,0),IFERROR(VLOOKUP($B50,'Privacy Analyst Evaluation'!$A$46:$F$120,3,0),""))&amp;""</f>
        <v/>
      </c>
      <c r="E50" s="242" t="str">
        <f aca="false">IFERROR(VLOOKUP($B50,'Institution Evaluation'!$A$55:$F$346,4,0),IFERROR(VLOOKUP($B50,'Privacy Analyst Evaluation'!$A$46:$F$120,4,0),""))&amp;""</f>
        <v>This question does not apply.</v>
      </c>
      <c r="F50" s="242" t="str">
        <f aca="false">IFERROR(VLOOKUP($B50,'Institution Evaluation'!$A$55:$F$346,6,0),IFERROR(VLOOKUP($B50,'Privacy Analyst Evaluation'!$A$46:$F$120,6,0),""))&amp;""</f>
        <v/>
      </c>
      <c r="G50" s="243"/>
      <c r="H50" s="242" t="str">
        <f aca="false">IFERROR(IF($H49+1&gt;'(backend scoring)'!$Q$335,"",$H49+1),"")</f>
        <v/>
      </c>
      <c r="I50" s="242" t="str">
        <f aca="false">_xlfn.XLOOKUP($H50,'(backend scoring)'!$S$2:$S$333,'(backend scoring)'!$A$2:$A$333,"")</f>
        <v/>
      </c>
      <c r="J50" s="242" t="str">
        <f aca="false">IFERROR(VLOOKUP($I50,'Institution Evaluation'!$A$55:$F$346,2,0),IFERROR(VLOOKUP($I50,'Privacy Analyst Evaluation'!$A$46:$F$120,2,0),""))</f>
        <v/>
      </c>
      <c r="K50" s="242" t="str">
        <f aca="false">IFERROR(VLOOKUP($I50,'Institution Evaluation'!$A$55:$F$346,3,0),IFERROR(VLOOKUP($I50,'Privacy Analyst Evaluation'!$A$46:$F$120,3,0),""))&amp;""</f>
        <v/>
      </c>
      <c r="L50" s="242" t="str">
        <f aca="false">IFERROR(VLOOKUP($I50,'Institution Evaluation'!$A$55:$F$346,4,0),IFERROR(VLOOKUP($I50,'Privacy Analyst Evaluation'!$A$46:$F$120,4,0),""))&amp;""</f>
        <v/>
      </c>
      <c r="M50" s="242" t="str">
        <f aca="false">IFERROR(VLOOKUP($I50,'Institution Evaluation'!$A$55:$F$346,6,0),IFERROR(VLOOKUP($I50,'Privacy Analyst Evaluation'!$A$46:$F$120,6,0),""))&amp;""</f>
        <v/>
      </c>
    </row>
    <row r="51" customFormat="false" ht="99.95" hidden="false" customHeight="false" outlineLevel="0" collapsed="false">
      <c r="A51" s="242" t="n">
        <f aca="false">IFERROR(IF($A50+1&gt;'(backend scoring)'!$T$335,"",$A50+1),"")</f>
        <v>27</v>
      </c>
      <c r="B51" s="242" t="str">
        <f aca="false">_xlfn.XLOOKUP($A51,'(backend scoring)'!$V$2:$V$333,'(backend scoring)'!$A$2:$A$333,"")</f>
        <v>AAAI-05</v>
      </c>
      <c r="C51" s="242" t="str">
        <f aca="false">IFERROR(VLOOKUP($B51,'Institution Evaluation'!$A$55:$F$346,2,0),IFERROR(VLOOKUP($B51,'Privacy Analyst Evaluation'!$A$46:$F$120,2,0),""))&amp;""</f>
        <v>For customers not using SSO, do you have documented password/passphrase reset procedures that are currently implemented in the system and/or customer support?*</v>
      </c>
      <c r="D51" s="242" t="str">
        <f aca="false">IFERROR(VLOOKUP($B51,'Institution Evaluation'!$A$55:$F$346,3,0),IFERROR(VLOOKUP($B51,'Privacy Analyst Evaluation'!$A$46:$F$120,3,0),""))&amp;""</f>
        <v/>
      </c>
      <c r="E51" s="242" t="str">
        <f aca="false">IFERROR(VLOOKUP($B51,'Institution Evaluation'!$A$55:$F$346,4,0),IFERROR(VLOOKUP($B51,'Privacy Analyst Evaluation'!$A$46:$F$120,4,0),""))&amp;""</f>
        <v>This question does not apply.</v>
      </c>
      <c r="F51" s="242" t="str">
        <f aca="false">IFERROR(VLOOKUP($B51,'Institution Evaluation'!$A$55:$F$346,6,0),IFERROR(VLOOKUP($B51,'Privacy Analyst Evaluation'!$A$46:$F$120,6,0),""))&amp;""</f>
        <v/>
      </c>
      <c r="G51" s="243"/>
      <c r="H51" s="242" t="str">
        <f aca="false">IFERROR(IF($H50+1&gt;'(backend scoring)'!$Q$335,"",$H50+1),"")</f>
        <v/>
      </c>
      <c r="I51" s="242" t="str">
        <f aca="false">_xlfn.XLOOKUP($H51,'(backend scoring)'!$S$2:$S$333,'(backend scoring)'!$A$2:$A$333,"")</f>
        <v/>
      </c>
      <c r="J51" s="242" t="str">
        <f aca="false">IFERROR(VLOOKUP($I51,'Institution Evaluation'!$A$55:$F$346,2,0),IFERROR(VLOOKUP($I51,'Privacy Analyst Evaluation'!$A$46:$F$120,2,0),""))</f>
        <v/>
      </c>
      <c r="K51" s="242" t="str">
        <f aca="false">IFERROR(VLOOKUP($I51,'Institution Evaluation'!$A$55:$F$346,3,0),IFERROR(VLOOKUP($I51,'Privacy Analyst Evaluation'!$A$46:$F$120,3,0),""))&amp;""</f>
        <v/>
      </c>
      <c r="L51" s="242" t="str">
        <f aca="false">IFERROR(VLOOKUP($I51,'Institution Evaluation'!$A$55:$F$346,4,0),IFERROR(VLOOKUP($I51,'Privacy Analyst Evaluation'!$A$46:$F$120,4,0),""))&amp;""</f>
        <v/>
      </c>
      <c r="M51" s="242" t="str">
        <f aca="false">IFERROR(VLOOKUP($I51,'Institution Evaluation'!$A$55:$F$346,6,0),IFERROR(VLOOKUP($I51,'Privacy Analyst Evaluation'!$A$46:$F$120,6,0),""))&amp;""</f>
        <v/>
      </c>
    </row>
    <row r="52" customFormat="false" ht="67.15" hidden="false" customHeight="false" outlineLevel="0" collapsed="false">
      <c r="A52" s="242" t="n">
        <f aca="false">IFERROR(IF($A51+1&gt;'(backend scoring)'!$T$335,"",$A51+1),"")</f>
        <v>28</v>
      </c>
      <c r="B52" s="242" t="str">
        <f aca="false">_xlfn.XLOOKUP($A52,'(backend scoring)'!$V$2:$V$333,'(backend scoring)'!$A$2:$A$333,"")</f>
        <v>AAAI-06</v>
      </c>
      <c r="C52" s="242" t="str">
        <f aca="false">IFERROR(VLOOKUP($B52,'Institution Evaluation'!$A$55:$F$346,2,0),IFERROR(VLOOKUP($B52,'Privacy Analyst Evaluation'!$A$46:$F$120,2,0),""))&amp;""</f>
        <v>Does your organization participate in InCommon or another eduGAIN-affiliated trust federation?*</v>
      </c>
      <c r="D52" s="242" t="str">
        <f aca="false">IFERROR(VLOOKUP($B52,'Institution Evaluation'!$A$55:$F$346,3,0),IFERROR(VLOOKUP($B52,'Privacy Analyst Evaluation'!$A$46:$F$120,3,0),""))&amp;""</f>
        <v/>
      </c>
      <c r="E52" s="242" t="str">
        <f aca="false">IFERROR(VLOOKUP($B52,'Institution Evaluation'!$A$55:$F$346,4,0),IFERROR(VLOOKUP($B52,'Privacy Analyst Evaluation'!$A$46:$F$120,4,0),""))&amp;""</f>
        <v>This question does not apply.</v>
      </c>
      <c r="F52" s="242" t="str">
        <f aca="false">IFERROR(VLOOKUP($B52,'Institution Evaluation'!$A$55:$F$346,6,0),IFERROR(VLOOKUP($B52,'Privacy Analyst Evaluation'!$A$46:$F$120,6,0),""))&amp;""</f>
        <v/>
      </c>
      <c r="G52" s="243"/>
      <c r="H52" s="242" t="str">
        <f aca="false">IFERROR(IF($H51+1&gt;'(backend scoring)'!$Q$335,"",$H51+1),"")</f>
        <v/>
      </c>
      <c r="I52" s="242" t="str">
        <f aca="false">_xlfn.XLOOKUP($H52,'(backend scoring)'!$S$2:$S$333,'(backend scoring)'!$A$2:$A$333,"")</f>
        <v/>
      </c>
      <c r="J52" s="242" t="str">
        <f aca="false">IFERROR(VLOOKUP($I52,'Institution Evaluation'!$A$55:$F$346,2,0),IFERROR(VLOOKUP($I52,'Privacy Analyst Evaluation'!$A$46:$F$120,2,0),""))</f>
        <v/>
      </c>
      <c r="K52" s="242" t="str">
        <f aca="false">IFERROR(VLOOKUP($I52,'Institution Evaluation'!$A$55:$F$346,3,0),IFERROR(VLOOKUP($I52,'Privacy Analyst Evaluation'!$A$46:$F$120,3,0),""))&amp;""</f>
        <v/>
      </c>
      <c r="L52" s="242" t="str">
        <f aca="false">IFERROR(VLOOKUP($I52,'Institution Evaluation'!$A$55:$F$346,4,0),IFERROR(VLOOKUP($I52,'Privacy Analyst Evaluation'!$A$46:$F$120,4,0),""))&amp;""</f>
        <v/>
      </c>
      <c r="M52" s="242" t="str">
        <f aca="false">IFERROR(VLOOKUP($I52,'Institution Evaluation'!$A$55:$F$346,6,0),IFERROR(VLOOKUP($I52,'Privacy Analyst Evaluation'!$A$46:$F$120,6,0),""))&amp;""</f>
        <v/>
      </c>
    </row>
    <row r="53" customFormat="false" ht="67.15" hidden="false" customHeight="false" outlineLevel="0" collapsed="false">
      <c r="A53" s="242" t="n">
        <f aca="false">IFERROR(IF($A52+1&gt;'(backend scoring)'!$T$335,"",$A52+1),"")</f>
        <v>29</v>
      </c>
      <c r="B53" s="242" t="str">
        <f aca="false">_xlfn.XLOOKUP($A53,'(backend scoring)'!$V$2:$V$333,'(backend scoring)'!$A$2:$A$333,"")</f>
        <v>AAAI-07</v>
      </c>
      <c r="C53" s="242" t="str">
        <f aca="false">IFERROR(VLOOKUP($B53,'Institution Evaluation'!$A$55:$F$346,2,0),IFERROR(VLOOKUP($B53,'Privacy Analyst Evaluation'!$A$46:$F$120,2,0),""))&amp;""</f>
        <v>Are there any passwords/passphrases hard-coded into your systems or solutions?*</v>
      </c>
      <c r="D53" s="242" t="str">
        <f aca="false">IFERROR(VLOOKUP($B53,'Institution Evaluation'!$A$55:$F$346,3,0),IFERROR(VLOOKUP($B53,'Privacy Analyst Evaluation'!$A$46:$F$120,3,0),""))&amp;""</f>
        <v/>
      </c>
      <c r="E53" s="242" t="str">
        <f aca="false">IFERROR(VLOOKUP($B53,'Institution Evaluation'!$A$55:$F$346,4,0),IFERROR(VLOOKUP($B53,'Privacy Analyst Evaluation'!$A$46:$F$120,4,0),""))&amp;""</f>
        <v>This question does not apply.</v>
      </c>
      <c r="F53" s="242" t="str">
        <f aca="false">IFERROR(VLOOKUP($B53,'Institution Evaluation'!$A$55:$F$346,6,0),IFERROR(VLOOKUP($B53,'Privacy Analyst Evaluation'!$A$46:$F$120,6,0),""))&amp;""</f>
        <v/>
      </c>
      <c r="G53" s="243"/>
      <c r="H53" s="242" t="str">
        <f aca="false">IFERROR(IF($H52+1&gt;'(backend scoring)'!$Q$335,"",$H52+1),"")</f>
        <v/>
      </c>
      <c r="I53" s="242" t="str">
        <f aca="false">_xlfn.XLOOKUP($H53,'(backend scoring)'!$S$2:$S$333,'(backend scoring)'!$A$2:$A$333,"")</f>
        <v/>
      </c>
      <c r="J53" s="242" t="str">
        <f aca="false">IFERROR(VLOOKUP($I53,'Institution Evaluation'!$A$55:$F$346,2,0),IFERROR(VLOOKUP($I53,'Privacy Analyst Evaluation'!$A$46:$F$120,2,0),""))</f>
        <v/>
      </c>
      <c r="K53" s="242" t="str">
        <f aca="false">IFERROR(VLOOKUP($I53,'Institution Evaluation'!$A$55:$F$346,3,0),IFERROR(VLOOKUP($I53,'Privacy Analyst Evaluation'!$A$46:$F$120,3,0),""))&amp;""</f>
        <v/>
      </c>
      <c r="L53" s="242" t="str">
        <f aca="false">IFERROR(VLOOKUP($I53,'Institution Evaluation'!$A$55:$F$346,4,0),IFERROR(VLOOKUP($I53,'Privacy Analyst Evaluation'!$A$46:$F$120,4,0),""))&amp;""</f>
        <v/>
      </c>
      <c r="M53" s="242" t="str">
        <f aca="false">IFERROR(VLOOKUP($I53,'Institution Evaluation'!$A$55:$F$346,6,0),IFERROR(VLOOKUP($I53,'Privacy Analyst Evaluation'!$A$46:$F$120,6,0),""))&amp;""</f>
        <v/>
      </c>
    </row>
    <row r="54" customFormat="false" ht="34.3" hidden="false" customHeight="false" outlineLevel="0" collapsed="false">
      <c r="A54" s="242" t="n">
        <f aca="false">IFERROR(IF($A53+1&gt;'(backend scoring)'!$T$335,"",$A53+1),"")</f>
        <v>30</v>
      </c>
      <c r="B54" s="242" t="str">
        <f aca="false">_xlfn.XLOOKUP($A54,'(backend scoring)'!$V$2:$V$333,'(backend scoring)'!$A$2:$A$333,"")</f>
        <v>AAAI-08</v>
      </c>
      <c r="C54" s="242" t="str">
        <f aca="false">IFERROR(VLOOKUP($B54,'Institution Evaluation'!$A$55:$F$346,2,0),IFERROR(VLOOKUP($B54,'Privacy Analyst Evaluation'!$A$46:$F$120,2,0),""))&amp;""</f>
        <v>Are you storing any passwords in plaintext?*</v>
      </c>
      <c r="D54" s="242" t="str">
        <f aca="false">IFERROR(VLOOKUP($B54,'Institution Evaluation'!$A$55:$F$346,3,0),IFERROR(VLOOKUP($B54,'Privacy Analyst Evaluation'!$A$46:$F$120,3,0),""))&amp;""</f>
        <v/>
      </c>
      <c r="E54" s="242" t="str">
        <f aca="false">IFERROR(VLOOKUP($B54,'Institution Evaluation'!$A$55:$F$346,4,0),IFERROR(VLOOKUP($B54,'Privacy Analyst Evaluation'!$A$46:$F$120,4,0),""))&amp;""</f>
        <v>This question does not apply.</v>
      </c>
      <c r="F54" s="242" t="str">
        <f aca="false">IFERROR(VLOOKUP($B54,'Institution Evaluation'!$A$55:$F$346,6,0),IFERROR(VLOOKUP($B54,'Privacy Analyst Evaluation'!$A$46:$F$120,6,0),""))&amp;""</f>
        <v/>
      </c>
      <c r="G54" s="243"/>
      <c r="H54" s="242" t="str">
        <f aca="false">IFERROR(IF($H53+1&gt;'(backend scoring)'!$Q$335,"",$H53+1),"")</f>
        <v/>
      </c>
      <c r="I54" s="242" t="str">
        <f aca="false">_xlfn.XLOOKUP($H54,'(backend scoring)'!$S$2:$S$333,'(backend scoring)'!$A$2:$A$333,"")</f>
        <v/>
      </c>
      <c r="J54" s="242" t="str">
        <f aca="false">IFERROR(VLOOKUP($I54,'Institution Evaluation'!$A$55:$F$346,2,0),IFERROR(VLOOKUP($I54,'Privacy Analyst Evaluation'!$A$46:$F$120,2,0),""))</f>
        <v/>
      </c>
      <c r="K54" s="242" t="str">
        <f aca="false">IFERROR(VLOOKUP($I54,'Institution Evaluation'!$A$55:$F$346,3,0),IFERROR(VLOOKUP($I54,'Privacy Analyst Evaluation'!$A$46:$F$120,3,0),""))&amp;""</f>
        <v/>
      </c>
      <c r="L54" s="242" t="str">
        <f aca="false">IFERROR(VLOOKUP($I54,'Institution Evaluation'!$A$55:$F$346,4,0),IFERROR(VLOOKUP($I54,'Privacy Analyst Evaluation'!$A$46:$F$120,4,0),""))&amp;""</f>
        <v/>
      </c>
      <c r="M54" s="242" t="str">
        <f aca="false">IFERROR(VLOOKUP($I54,'Institution Evaluation'!$A$55:$F$346,6,0),IFERROR(VLOOKUP($I54,'Privacy Analyst Evaluation'!$A$46:$F$120,6,0),""))&amp;""</f>
        <v/>
      </c>
    </row>
    <row r="55" customFormat="false" ht="83.55" hidden="false" customHeight="false" outlineLevel="0" collapsed="false">
      <c r="A55" s="242" t="n">
        <f aca="false">IFERROR(IF($A54+1&gt;'(backend scoring)'!$T$335,"",$A54+1),"")</f>
        <v>31</v>
      </c>
      <c r="B55" s="242" t="str">
        <f aca="false">_xlfn.XLOOKUP($A55,'(backend scoring)'!$V$2:$V$333,'(backend scoring)'!$A$2:$A$333,"")</f>
        <v>AAAI-09</v>
      </c>
      <c r="C55" s="242" t="str">
        <f aca="false">IFERROR(VLOOKUP($B55,'Institution Evaluation'!$A$55:$F$346,2,0),IFERROR(VLOOKUP($B55,'Privacy Analyst Evaluation'!$A$46:$F$120,2,0),""))&amp;""</f>
        <v>Are audit logs available that include AT LEAST all of the following: login, logout, actions performed, and source IP address?*</v>
      </c>
      <c r="D55" s="242" t="str">
        <f aca="false">IFERROR(VLOOKUP($B55,'Institution Evaluation'!$A$55:$F$346,3,0),IFERROR(VLOOKUP($B55,'Privacy Analyst Evaluation'!$A$46:$F$120,3,0),""))&amp;""</f>
        <v/>
      </c>
      <c r="E55" s="242" t="str">
        <f aca="false">IFERROR(VLOOKUP($B55,'Institution Evaluation'!$A$55:$F$346,4,0),IFERROR(VLOOKUP($B55,'Privacy Analyst Evaluation'!$A$46:$F$120,4,0),""))&amp;""</f>
        <v>This question does not apply.</v>
      </c>
      <c r="F55" s="242" t="str">
        <f aca="false">IFERROR(VLOOKUP($B55,'Institution Evaluation'!$A$55:$F$346,6,0),IFERROR(VLOOKUP($B55,'Privacy Analyst Evaluation'!$A$46:$F$120,6,0),""))&amp;""</f>
        <v/>
      </c>
      <c r="G55" s="243"/>
      <c r="H55" s="242" t="str">
        <f aca="false">IFERROR(IF($H54+1&gt;'(backend scoring)'!$Q$335,"",$H54+1),"")</f>
        <v/>
      </c>
      <c r="I55" s="242" t="str">
        <f aca="false">_xlfn.XLOOKUP($H55,'(backend scoring)'!$S$2:$S$333,'(backend scoring)'!$A$2:$A$333,"")</f>
        <v/>
      </c>
      <c r="J55" s="242" t="str">
        <f aca="false">IFERROR(VLOOKUP($I55,'Institution Evaluation'!$A$55:$F$346,2,0),IFERROR(VLOOKUP($I55,'Privacy Analyst Evaluation'!$A$46:$F$120,2,0),""))</f>
        <v/>
      </c>
      <c r="K55" s="242" t="str">
        <f aca="false">IFERROR(VLOOKUP($I55,'Institution Evaluation'!$A$55:$F$346,3,0),IFERROR(VLOOKUP($I55,'Privacy Analyst Evaluation'!$A$46:$F$120,3,0),""))&amp;""</f>
        <v/>
      </c>
      <c r="L55" s="242" t="str">
        <f aca="false">IFERROR(VLOOKUP($I55,'Institution Evaluation'!$A$55:$F$346,4,0),IFERROR(VLOOKUP($I55,'Privacy Analyst Evaluation'!$A$46:$F$120,4,0),""))&amp;""</f>
        <v/>
      </c>
      <c r="M55" s="242" t="str">
        <f aca="false">IFERROR(VLOOKUP($I55,'Institution Evaluation'!$A$55:$F$346,6,0),IFERROR(VLOOKUP($I55,'Privacy Analyst Evaluation'!$A$46:$F$120,6,0),""))&amp;""</f>
        <v/>
      </c>
    </row>
    <row r="56" customFormat="false" ht="99.95" hidden="false" customHeight="false" outlineLevel="0" collapsed="false">
      <c r="A56" s="242" t="n">
        <f aca="false">IFERROR(IF($A55+1&gt;'(backend scoring)'!$T$335,"",$A55+1),"")</f>
        <v>32</v>
      </c>
      <c r="B56" s="242" t="str">
        <f aca="false">_xlfn.XLOOKUP($A56,'(backend scoring)'!$V$2:$V$333,'(backend scoring)'!$A$2:$A$333,"")</f>
        <v>AAAI-11</v>
      </c>
      <c r="C56" s="242" t="str">
        <f aca="false">IFERROR(VLOOKUP($B56,'Institution Evaluation'!$A$55:$F$346,2,0),IFERROR(VLOOKUP($B56,'Privacy Analyst Evaluation'!$A$46:$F$120,2,0),""))&amp;""</f>
        <v>Can you provide the institution documentation regarding the retention period for those logs, how logs are protected, and whether they are accessible to the customer (and if so, how)?*</v>
      </c>
      <c r="D56" s="242" t="str">
        <f aca="false">IFERROR(VLOOKUP($B56,'Institution Evaluation'!$A$55:$F$346,3,0),IFERROR(VLOOKUP($B56,'Privacy Analyst Evaluation'!$A$46:$F$120,3,0),""))&amp;""</f>
        <v/>
      </c>
      <c r="E56" s="242" t="str">
        <f aca="false">IFERROR(VLOOKUP($B56,'Institution Evaluation'!$A$55:$F$346,4,0),IFERROR(VLOOKUP($B56,'Privacy Analyst Evaluation'!$A$46:$F$120,4,0),""))&amp;""</f>
        <v>This question does not apply.</v>
      </c>
      <c r="F56" s="242" t="str">
        <f aca="false">IFERROR(VLOOKUP($B56,'Institution Evaluation'!$A$55:$F$346,6,0),IFERROR(VLOOKUP($B56,'Privacy Analyst Evaluation'!$A$46:$F$120,6,0),""))&amp;""</f>
        <v/>
      </c>
      <c r="G56" s="243"/>
      <c r="H56" s="242" t="str">
        <f aca="false">IFERROR(IF($H55+1&gt;'(backend scoring)'!$Q$335,"",$H55+1),"")</f>
        <v/>
      </c>
      <c r="I56" s="242" t="str">
        <f aca="false">_xlfn.XLOOKUP($H56,'(backend scoring)'!$S$2:$S$333,'(backend scoring)'!$A$2:$A$333,"")</f>
        <v/>
      </c>
      <c r="J56" s="242" t="str">
        <f aca="false">IFERROR(VLOOKUP($I56,'Institution Evaluation'!$A$55:$F$346,2,0),IFERROR(VLOOKUP($I56,'Privacy Analyst Evaluation'!$A$46:$F$120,2,0),""))</f>
        <v/>
      </c>
      <c r="K56" s="242" t="str">
        <f aca="false">IFERROR(VLOOKUP($I56,'Institution Evaluation'!$A$55:$F$346,3,0),IFERROR(VLOOKUP($I56,'Privacy Analyst Evaluation'!$A$46:$F$120,3,0),""))&amp;""</f>
        <v/>
      </c>
      <c r="L56" s="242" t="str">
        <f aca="false">IFERROR(VLOOKUP($I56,'Institution Evaluation'!$A$55:$F$346,4,0),IFERROR(VLOOKUP($I56,'Privacy Analyst Evaluation'!$A$46:$F$120,4,0),""))&amp;""</f>
        <v/>
      </c>
      <c r="M56" s="242" t="str">
        <f aca="false">IFERROR(VLOOKUP($I56,'Institution Evaluation'!$A$55:$F$346,6,0),IFERROR(VLOOKUP($I56,'Privacy Analyst Evaluation'!$A$46:$F$120,6,0),""))&amp;""</f>
        <v/>
      </c>
    </row>
    <row r="57" customFormat="false" ht="83.55" hidden="false" customHeight="false" outlineLevel="0" collapsed="false">
      <c r="A57" s="242" t="n">
        <f aca="false">IFERROR(IF($A56+1&gt;'(backend scoring)'!$T$335,"",$A56+1),"")</f>
        <v>33</v>
      </c>
      <c r="B57" s="242" t="str">
        <f aca="false">_xlfn.XLOOKUP($A57,'(backend scoring)'!$V$2:$V$333,'(backend scoring)'!$A$2:$A$333,"")</f>
        <v>CHNG-01</v>
      </c>
      <c r="C57" s="242" t="str">
        <f aca="false">IFERROR(VLOOKUP($B57,'Institution Evaluation'!$A$55:$F$346,2,0),IFERROR(VLOOKUP($B57,'Privacy Analyst Evaluation'!$A$46:$F$120,2,0),""))&amp;""</f>
        <v>Will the institution be notified of major changes to your environment that could impact the institution's security posture?*</v>
      </c>
      <c r="D57" s="242" t="str">
        <f aca="false">IFERROR(VLOOKUP($B57,'Institution Evaluation'!$A$55:$F$346,3,0),IFERROR(VLOOKUP($B57,'Privacy Analyst Evaluation'!$A$46:$F$120,3,0),""))&amp;""</f>
        <v>No</v>
      </c>
      <c r="E57" s="242" t="str">
        <f aca="false">IFERROR(VLOOKUP($B57,'Institution Evaluation'!$A$55:$F$346,4,0),IFERROR(VLOOKUP($B57,'Privacy Analyst Evaluation'!$A$46:$F$120,4,0),""))&amp;""</f>
        <v>NA</v>
      </c>
      <c r="F57" s="242" t="str">
        <f aca="false">IFERROR(VLOOKUP($B57,'Institution Evaluation'!$A$55:$F$346,6,0),IFERROR(VLOOKUP($B57,'Privacy Analyst Evaluation'!$A$46:$F$120,6,0),""))&amp;""</f>
        <v/>
      </c>
      <c r="G57" s="243"/>
      <c r="H57" s="242" t="str">
        <f aca="false">IFERROR(IF($H56+1&gt;'(backend scoring)'!$Q$335,"",$H56+1),"")</f>
        <v/>
      </c>
      <c r="I57" s="242" t="str">
        <f aca="false">_xlfn.XLOOKUP($H57,'(backend scoring)'!$S$2:$S$333,'(backend scoring)'!$A$2:$A$333,"")</f>
        <v/>
      </c>
      <c r="J57" s="242" t="str">
        <f aca="false">IFERROR(VLOOKUP($I57,'Institution Evaluation'!$A$55:$F$346,2,0),IFERROR(VLOOKUP($I57,'Privacy Analyst Evaluation'!$A$46:$F$120,2,0),""))</f>
        <v/>
      </c>
      <c r="K57" s="242" t="str">
        <f aca="false">IFERROR(VLOOKUP($I57,'Institution Evaluation'!$A$55:$F$346,3,0),IFERROR(VLOOKUP($I57,'Privacy Analyst Evaluation'!$A$46:$F$120,3,0),""))&amp;""</f>
        <v/>
      </c>
      <c r="L57" s="242" t="str">
        <f aca="false">IFERROR(VLOOKUP($I57,'Institution Evaluation'!$A$55:$F$346,4,0),IFERROR(VLOOKUP($I57,'Privacy Analyst Evaluation'!$A$46:$F$120,4,0),""))&amp;""</f>
        <v/>
      </c>
      <c r="M57" s="242" t="str">
        <f aca="false">IFERROR(VLOOKUP($I57,'Institution Evaluation'!$A$55:$F$346,6,0),IFERROR(VLOOKUP($I57,'Privacy Analyst Evaluation'!$A$46:$F$120,6,0),""))&amp;""</f>
        <v/>
      </c>
    </row>
    <row r="58" customFormat="false" ht="50.7" hidden="false" customHeight="false" outlineLevel="0" collapsed="false">
      <c r="A58" s="242" t="n">
        <f aca="false">IFERROR(IF($A57+1&gt;'(backend scoring)'!$T$335,"",$A57+1),"")</f>
        <v>34</v>
      </c>
      <c r="B58" s="242" t="str">
        <f aca="false">_xlfn.XLOOKUP($A58,'(backend scoring)'!$V$2:$V$333,'(backend scoring)'!$A$2:$A$333,"")</f>
        <v>CHNG-02</v>
      </c>
      <c r="C58" s="242" t="str">
        <f aca="false">IFERROR(VLOOKUP($B58,'Institution Evaluation'!$A$55:$F$346,2,0),IFERROR(VLOOKUP($B58,'Privacy Analyst Evaluation'!$A$46:$F$120,2,0),""))&amp;""</f>
        <v>Does the system support client customizations from one release to another?*</v>
      </c>
      <c r="D58" s="242" t="str">
        <f aca="false">IFERROR(VLOOKUP($B58,'Institution Evaluation'!$A$55:$F$346,3,0),IFERROR(VLOOKUP($B58,'Privacy Analyst Evaluation'!$A$46:$F$120,3,0),""))&amp;""</f>
        <v>yes</v>
      </c>
      <c r="E58" s="242" t="str">
        <f aca="false">IFERROR(VLOOKUP($B58,'Institution Evaluation'!$A$55:$F$346,4,0),IFERROR(VLOOKUP($B58,'Privacy Analyst Evaluation'!$A$46:$F$120,4,0),""))&amp;""</f>
        <v>We follow a strict rule for deprecations and API breaks. </v>
      </c>
      <c r="F58" s="242" t="str">
        <f aca="false">IFERROR(VLOOKUP($B58,'Institution Evaluation'!$A$55:$F$346,6,0),IFERROR(VLOOKUP($B58,'Privacy Analyst Evaluation'!$A$46:$F$120,6,0),""))&amp;""</f>
        <v/>
      </c>
      <c r="G58" s="243"/>
      <c r="H58" s="242" t="str">
        <f aca="false">IFERROR(IF($H57+1&gt;'(backend scoring)'!$Q$335,"",$H57+1),"")</f>
        <v/>
      </c>
      <c r="I58" s="242" t="str">
        <f aca="false">_xlfn.XLOOKUP($H58,'(backend scoring)'!$S$2:$S$333,'(backend scoring)'!$A$2:$A$333,"")</f>
        <v/>
      </c>
      <c r="J58" s="242" t="str">
        <f aca="false">IFERROR(VLOOKUP($I58,'Institution Evaluation'!$A$55:$F$346,2,0),IFERROR(VLOOKUP($I58,'Privacy Analyst Evaluation'!$A$46:$F$120,2,0),""))</f>
        <v/>
      </c>
      <c r="K58" s="242" t="str">
        <f aca="false">IFERROR(VLOOKUP($I58,'Institution Evaluation'!$A$55:$F$346,3,0),IFERROR(VLOOKUP($I58,'Privacy Analyst Evaluation'!$A$46:$F$120,3,0),""))&amp;""</f>
        <v/>
      </c>
      <c r="L58" s="242" t="str">
        <f aca="false">IFERROR(VLOOKUP($I58,'Institution Evaluation'!$A$55:$F$346,4,0),IFERROR(VLOOKUP($I58,'Privacy Analyst Evaluation'!$A$46:$F$120,4,0),""))&amp;""</f>
        <v/>
      </c>
      <c r="M58" s="242" t="str">
        <f aca="false">IFERROR(VLOOKUP($I58,'Institution Evaluation'!$A$55:$F$346,6,0),IFERROR(VLOOKUP($I58,'Privacy Analyst Evaluation'!$A$46:$F$120,6,0),""))&amp;""</f>
        <v/>
      </c>
    </row>
    <row r="59" customFormat="false" ht="83.55" hidden="false" customHeight="false" outlineLevel="0" collapsed="false">
      <c r="A59" s="242" t="n">
        <f aca="false">IFERROR(IF($A58+1&gt;'(backend scoring)'!$T$335,"",$A58+1),"")</f>
        <v>35</v>
      </c>
      <c r="B59" s="242" t="str">
        <f aca="false">_xlfn.XLOOKUP($A59,'(backend scoring)'!$V$2:$V$333,'(backend scoring)'!$A$2:$A$333,"")</f>
        <v>CHNG-03</v>
      </c>
      <c r="C59" s="242" t="str">
        <f aca="false">IFERROR(VLOOKUP($B59,'Institution Evaluation'!$A$55:$F$346,2,0),IFERROR(VLOOKUP($B59,'Privacy Analyst Evaluation'!$A$46:$F$120,2,0),""))&amp;""</f>
        <v>Do you have an implemented system configuration management process (e.g.,secure "gold" images, etc.)?*</v>
      </c>
      <c r="D59" s="242" t="str">
        <f aca="false">IFERROR(VLOOKUP($B59,'Institution Evaluation'!$A$55:$F$346,3,0),IFERROR(VLOOKUP($B59,'Privacy Analyst Evaluation'!$A$46:$F$120,3,0),""))&amp;""</f>
        <v>No</v>
      </c>
      <c r="E59" s="242" t="str">
        <f aca="false">IFERROR(VLOOKUP($B59,'Institution Evaluation'!$A$55:$F$346,4,0),IFERROR(VLOOKUP($B59,'Privacy Analyst Evaluation'!$A$46:$F$120,4,0),""))&amp;""</f>
        <v>NA</v>
      </c>
      <c r="F59" s="242" t="str">
        <f aca="false">IFERROR(VLOOKUP($B59,'Institution Evaluation'!$A$55:$F$346,6,0),IFERROR(VLOOKUP($B59,'Privacy Analyst Evaluation'!$A$46:$F$120,6,0),""))&amp;""</f>
        <v/>
      </c>
      <c r="G59" s="243"/>
      <c r="H59" s="242" t="str">
        <f aca="false">IFERROR(IF($H58+1&gt;'(backend scoring)'!$Q$335,"",$H58+1),"")</f>
        <v/>
      </c>
      <c r="I59" s="242" t="str">
        <f aca="false">_xlfn.XLOOKUP($H59,'(backend scoring)'!$S$2:$S$333,'(backend scoring)'!$A$2:$A$333,"")</f>
        <v/>
      </c>
      <c r="J59" s="242" t="str">
        <f aca="false">IFERROR(VLOOKUP($I59,'Institution Evaluation'!$A$55:$F$346,2,0),IFERROR(VLOOKUP($I59,'Privacy Analyst Evaluation'!$A$46:$F$120,2,0),""))</f>
        <v/>
      </c>
      <c r="K59" s="242" t="str">
        <f aca="false">IFERROR(VLOOKUP($I59,'Institution Evaluation'!$A$55:$F$346,3,0),IFERROR(VLOOKUP($I59,'Privacy Analyst Evaluation'!$A$46:$F$120,3,0),""))&amp;""</f>
        <v/>
      </c>
      <c r="L59" s="242" t="str">
        <f aca="false">IFERROR(VLOOKUP($I59,'Institution Evaluation'!$A$55:$F$346,4,0),IFERROR(VLOOKUP($I59,'Privacy Analyst Evaluation'!$A$46:$F$120,4,0),""))&amp;""</f>
        <v/>
      </c>
      <c r="M59" s="242" t="str">
        <f aca="false">IFERROR(VLOOKUP($I59,'Institution Evaluation'!$A$55:$F$346,6,0),IFERROR(VLOOKUP($I59,'Privacy Analyst Evaluation'!$A$46:$F$120,6,0),""))&amp;""</f>
        <v/>
      </c>
    </row>
    <row r="60" customFormat="false" ht="99.95" hidden="false" customHeight="false" outlineLevel="0" collapsed="false">
      <c r="A60" s="242" t="n">
        <f aca="false">IFERROR(IF($A59+1&gt;'(backend scoring)'!$T$335,"",$A59+1),"")</f>
        <v>36</v>
      </c>
      <c r="B60" s="242" t="str">
        <f aca="false">_xlfn.XLOOKUP($A60,'(backend scoring)'!$V$2:$V$333,'(backend scoring)'!$A$2:$A$333,"")</f>
        <v>DATA-01</v>
      </c>
      <c r="C60" s="242" t="str">
        <f aca="false">IFERROR(VLOOKUP($B60,'Institution Evaluation'!$A$55:$F$346,2,0),IFERROR(VLOOKUP($B60,'Privacy Analyst Evaluation'!$A$46:$F$120,2,0),""))&amp;""</f>
        <v>Will the institution's data be stored on any devices (database servers, file servers, SAN, NAS, etc.) configured with non-RFC 1918/4193 (i.e., publicly routable) IP addresses?*</v>
      </c>
      <c r="D60" s="242" t="str">
        <f aca="false">IFERROR(VLOOKUP($B60,'Institution Evaluation'!$A$55:$F$346,3,0),IFERROR(VLOOKUP($B60,'Privacy Analyst Evaluation'!$A$46:$F$120,3,0),""))&amp;""</f>
        <v/>
      </c>
      <c r="E60" s="242" t="str">
        <f aca="false">IFERROR(VLOOKUP($B60,'Institution Evaluation'!$A$55:$F$346,4,0),IFERROR(VLOOKUP($B60,'Privacy Analyst Evaluation'!$A$46:$F$120,4,0),""))&amp;""</f>
        <v>This question does not apply.</v>
      </c>
      <c r="F60" s="242" t="str">
        <f aca="false">IFERROR(VLOOKUP($B60,'Institution Evaluation'!$A$55:$F$346,6,0),IFERROR(VLOOKUP($B60,'Privacy Analyst Evaluation'!$A$46:$F$120,6,0),""))&amp;""</f>
        <v/>
      </c>
      <c r="G60" s="243"/>
      <c r="H60" s="242" t="str">
        <f aca="false">IFERROR(IF($H59+1&gt;'(backend scoring)'!$Q$335,"",$H59+1),"")</f>
        <v/>
      </c>
      <c r="I60" s="242" t="str">
        <f aca="false">_xlfn.XLOOKUP($H60,'(backend scoring)'!$S$2:$S$333,'(backend scoring)'!$A$2:$A$333,"")</f>
        <v/>
      </c>
      <c r="J60" s="242" t="str">
        <f aca="false">IFERROR(VLOOKUP($I60,'Institution Evaluation'!$A$55:$F$346,2,0),IFERROR(VLOOKUP($I60,'Privacy Analyst Evaluation'!$A$46:$F$120,2,0),""))</f>
        <v/>
      </c>
      <c r="K60" s="242" t="str">
        <f aca="false">IFERROR(VLOOKUP($I60,'Institution Evaluation'!$A$55:$F$346,3,0),IFERROR(VLOOKUP($I60,'Privacy Analyst Evaluation'!$A$46:$F$120,3,0),""))&amp;""</f>
        <v/>
      </c>
      <c r="L60" s="242" t="str">
        <f aca="false">IFERROR(VLOOKUP($I60,'Institution Evaluation'!$A$55:$F$346,4,0),IFERROR(VLOOKUP($I60,'Privacy Analyst Evaluation'!$A$46:$F$120,4,0),""))&amp;""</f>
        <v/>
      </c>
      <c r="M60" s="242" t="str">
        <f aca="false">IFERROR(VLOOKUP($I60,'Institution Evaluation'!$A$55:$F$346,6,0),IFERROR(VLOOKUP($I60,'Privacy Analyst Evaluation'!$A$46:$F$120,6,0),""))&amp;""</f>
        <v/>
      </c>
    </row>
    <row r="61" customFormat="false" ht="67.15" hidden="false" customHeight="false" outlineLevel="0" collapsed="false">
      <c r="A61" s="242" t="n">
        <f aca="false">IFERROR(IF($A60+1&gt;'(backend scoring)'!$T$335,"",$A60+1),"")</f>
        <v>37</v>
      </c>
      <c r="B61" s="242" t="str">
        <f aca="false">_xlfn.XLOOKUP($A61,'(backend scoring)'!$V$2:$V$333,'(backend scoring)'!$A$2:$A$333,"")</f>
        <v>DATA-02</v>
      </c>
      <c r="C61" s="242" t="str">
        <f aca="false">IFERROR(VLOOKUP($B61,'Institution Evaluation'!$A$55:$F$346,2,0),IFERROR(VLOOKUP($B61,'Privacy Analyst Evaluation'!$A$46:$F$120,2,0),""))&amp;""</f>
        <v>Is the transport of sensitive data encrypted using security protocols/algorithms (e.g., system-to-client)?*</v>
      </c>
      <c r="D61" s="242" t="str">
        <f aca="false">IFERROR(VLOOKUP($B61,'Institution Evaluation'!$A$55:$F$346,3,0),IFERROR(VLOOKUP($B61,'Privacy Analyst Evaluation'!$A$46:$F$120,3,0),""))&amp;""</f>
        <v/>
      </c>
      <c r="E61" s="242" t="str">
        <f aca="false">IFERROR(VLOOKUP($B61,'Institution Evaluation'!$A$55:$F$346,4,0),IFERROR(VLOOKUP($B61,'Privacy Analyst Evaluation'!$A$46:$F$120,4,0),""))&amp;""</f>
        <v>This question does not apply.</v>
      </c>
      <c r="F61" s="242" t="str">
        <f aca="false">IFERROR(VLOOKUP($B61,'Institution Evaluation'!$A$55:$F$346,6,0),IFERROR(VLOOKUP($B61,'Privacy Analyst Evaluation'!$A$46:$F$120,6,0),""))&amp;""</f>
        <v/>
      </c>
      <c r="G61" s="243"/>
      <c r="H61" s="242" t="str">
        <f aca="false">IFERROR(IF($H60+1&gt;'(backend scoring)'!$Q$335,"",$H60+1),"")</f>
        <v/>
      </c>
      <c r="I61" s="242" t="str">
        <f aca="false">_xlfn.XLOOKUP($H61,'(backend scoring)'!$S$2:$S$333,'(backend scoring)'!$A$2:$A$333,"")</f>
        <v/>
      </c>
      <c r="J61" s="242" t="str">
        <f aca="false">IFERROR(VLOOKUP($I61,'Institution Evaluation'!$A$55:$F$346,2,0),IFERROR(VLOOKUP($I61,'Privacy Analyst Evaluation'!$A$46:$F$120,2,0),""))</f>
        <v/>
      </c>
      <c r="K61" s="242" t="str">
        <f aca="false">IFERROR(VLOOKUP($I61,'Institution Evaluation'!$A$55:$F$346,3,0),IFERROR(VLOOKUP($I61,'Privacy Analyst Evaluation'!$A$46:$F$120,3,0),""))&amp;""</f>
        <v/>
      </c>
      <c r="L61" s="242" t="str">
        <f aca="false">IFERROR(VLOOKUP($I61,'Institution Evaluation'!$A$55:$F$346,4,0),IFERROR(VLOOKUP($I61,'Privacy Analyst Evaluation'!$A$46:$F$120,4,0),""))&amp;""</f>
        <v/>
      </c>
      <c r="M61" s="242" t="str">
        <f aca="false">IFERROR(VLOOKUP($I61,'Institution Evaluation'!$A$55:$F$346,6,0),IFERROR(VLOOKUP($I61,'Privacy Analyst Evaluation'!$A$46:$F$120,6,0),""))&amp;""</f>
        <v/>
      </c>
    </row>
    <row r="62" customFormat="false" ht="83.55" hidden="false" customHeight="false" outlineLevel="0" collapsed="false">
      <c r="A62" s="242" t="n">
        <f aca="false">IFERROR(IF($A61+1&gt;'(backend scoring)'!$T$335,"",$A61+1),"")</f>
        <v>38</v>
      </c>
      <c r="B62" s="242" t="str">
        <f aca="false">_xlfn.XLOOKUP($A62,'(backend scoring)'!$V$2:$V$333,'(backend scoring)'!$A$2:$A$333,"")</f>
        <v>DATA-03</v>
      </c>
      <c r="C62" s="242" t="str">
        <f aca="false">IFERROR(VLOOKUP($B62,'Institution Evaluation'!$A$55:$F$346,2,0),IFERROR(VLOOKUP($B62,'Privacy Analyst Evaluation'!$A$46:$F$120,2,0),""))&amp;""</f>
        <v>Is the storage of sensitive data encrypted using security protocols/algorithms (e.g., disk encryption, at-rest, files, and within a running database)?*</v>
      </c>
      <c r="D62" s="242" t="str">
        <f aca="false">IFERROR(VLOOKUP($B62,'Institution Evaluation'!$A$55:$F$346,3,0),IFERROR(VLOOKUP($B62,'Privacy Analyst Evaluation'!$A$46:$F$120,3,0),""))&amp;""</f>
        <v/>
      </c>
      <c r="E62" s="242" t="str">
        <f aca="false">IFERROR(VLOOKUP($B62,'Institution Evaluation'!$A$55:$F$346,4,0),IFERROR(VLOOKUP($B62,'Privacy Analyst Evaluation'!$A$46:$F$120,4,0),""))&amp;""</f>
        <v>This question does not apply.</v>
      </c>
      <c r="F62" s="242" t="str">
        <f aca="false">IFERROR(VLOOKUP($B62,'Institution Evaluation'!$A$55:$F$346,6,0),IFERROR(VLOOKUP($B62,'Privacy Analyst Evaluation'!$A$46:$F$120,6,0),""))&amp;""</f>
        <v/>
      </c>
      <c r="G62" s="243"/>
      <c r="H62" s="242" t="str">
        <f aca="false">IFERROR(IF($H61+1&gt;'(backend scoring)'!$Q$335,"",$H61+1),"")</f>
        <v/>
      </c>
      <c r="I62" s="242" t="str">
        <f aca="false">_xlfn.XLOOKUP($H62,'(backend scoring)'!$S$2:$S$333,'(backend scoring)'!$A$2:$A$333,"")</f>
        <v/>
      </c>
      <c r="J62" s="242" t="str">
        <f aca="false">IFERROR(VLOOKUP($I62,'Institution Evaluation'!$A$55:$F$346,2,0),IFERROR(VLOOKUP($I62,'Privacy Analyst Evaluation'!$A$46:$F$120,2,0),""))</f>
        <v/>
      </c>
      <c r="K62" s="242" t="str">
        <f aca="false">IFERROR(VLOOKUP($I62,'Institution Evaluation'!$A$55:$F$346,3,0),IFERROR(VLOOKUP($I62,'Privacy Analyst Evaluation'!$A$46:$F$120,3,0),""))&amp;""</f>
        <v/>
      </c>
      <c r="L62" s="242" t="str">
        <f aca="false">IFERROR(VLOOKUP($I62,'Institution Evaluation'!$A$55:$F$346,4,0),IFERROR(VLOOKUP($I62,'Privacy Analyst Evaluation'!$A$46:$F$120,4,0),""))&amp;""</f>
        <v/>
      </c>
      <c r="M62" s="242" t="str">
        <f aca="false">IFERROR(VLOOKUP($I62,'Institution Evaluation'!$A$55:$F$346,6,0),IFERROR(VLOOKUP($I62,'Privacy Analyst Evaluation'!$A$46:$F$120,6,0),""))&amp;""</f>
        <v/>
      </c>
    </row>
    <row r="63" customFormat="false" ht="83.55" hidden="false" customHeight="false" outlineLevel="0" collapsed="false">
      <c r="A63" s="242" t="n">
        <f aca="false">IFERROR(IF($A62+1&gt;'(backend scoring)'!$T$335,"",$A62+1),"")</f>
        <v>39</v>
      </c>
      <c r="B63" s="242" t="str">
        <f aca="false">_xlfn.XLOOKUP($A63,'(backend scoring)'!$V$2:$V$333,'(backend scoring)'!$A$2:$A$333,"")</f>
        <v>DATA-04</v>
      </c>
      <c r="C63" s="242" t="str">
        <f aca="false">IFERROR(VLOOKUP($B63,'Institution Evaluation'!$A$55:$F$346,2,0),IFERROR(VLOOKUP($B63,'Privacy Analyst Evaluation'!$A$46:$F$120,2,0),""))&amp;""</f>
        <v>Do all cryptographic modules in use in your solution conform to the Federal Information Processing Standards (FIPS PUB 140-2 or 140-3)?*</v>
      </c>
      <c r="D63" s="242" t="str">
        <f aca="false">IFERROR(VLOOKUP($B63,'Institution Evaluation'!$A$55:$F$346,3,0),IFERROR(VLOOKUP($B63,'Privacy Analyst Evaluation'!$A$46:$F$120,3,0),""))&amp;""</f>
        <v/>
      </c>
      <c r="E63" s="242" t="str">
        <f aca="false">IFERROR(VLOOKUP($B63,'Institution Evaluation'!$A$55:$F$346,4,0),IFERROR(VLOOKUP($B63,'Privacy Analyst Evaluation'!$A$46:$F$120,4,0),""))&amp;""</f>
        <v>This question does not apply.</v>
      </c>
      <c r="F63" s="242" t="str">
        <f aca="false">IFERROR(VLOOKUP($B63,'Institution Evaluation'!$A$55:$F$346,6,0),IFERROR(VLOOKUP($B63,'Privacy Analyst Evaluation'!$A$46:$F$120,6,0),""))&amp;""</f>
        <v/>
      </c>
      <c r="G63" s="243"/>
      <c r="H63" s="242" t="str">
        <f aca="false">IFERROR(IF($H62+1&gt;'(backend scoring)'!$Q$335,"",$H62+1),"")</f>
        <v/>
      </c>
      <c r="I63" s="242" t="str">
        <f aca="false">_xlfn.XLOOKUP($H63,'(backend scoring)'!$S$2:$S$333,'(backend scoring)'!$A$2:$A$333,"")</f>
        <v/>
      </c>
      <c r="J63" s="242" t="str">
        <f aca="false">IFERROR(VLOOKUP($I63,'Institution Evaluation'!$A$55:$F$346,2,0),IFERROR(VLOOKUP($I63,'Privacy Analyst Evaluation'!$A$46:$F$120,2,0),""))</f>
        <v/>
      </c>
      <c r="K63" s="242" t="str">
        <f aca="false">IFERROR(VLOOKUP($I63,'Institution Evaluation'!$A$55:$F$346,3,0),IFERROR(VLOOKUP($I63,'Privacy Analyst Evaluation'!$A$46:$F$120,3,0),""))&amp;""</f>
        <v/>
      </c>
      <c r="L63" s="242" t="str">
        <f aca="false">IFERROR(VLOOKUP($I63,'Institution Evaluation'!$A$55:$F$346,4,0),IFERROR(VLOOKUP($I63,'Privacy Analyst Evaluation'!$A$46:$F$120,4,0),""))&amp;""</f>
        <v/>
      </c>
      <c r="M63" s="242" t="str">
        <f aca="false">IFERROR(VLOOKUP($I63,'Institution Evaluation'!$A$55:$F$346,6,0),IFERROR(VLOOKUP($I63,'Privacy Analyst Evaluation'!$A$46:$F$120,6,0),""))&amp;""</f>
        <v/>
      </c>
    </row>
    <row r="64" customFormat="false" ht="67.15" hidden="false" customHeight="false" outlineLevel="0" collapsed="false">
      <c r="A64" s="242" t="n">
        <f aca="false">IFERROR(IF($A63+1&gt;'(backend scoring)'!$T$335,"",$A63+1),"")</f>
        <v>40</v>
      </c>
      <c r="B64" s="242" t="str">
        <f aca="false">_xlfn.XLOOKUP($A64,'(backend scoring)'!$V$2:$V$333,'(backend scoring)'!$A$2:$A$333,"")</f>
        <v>DATA-05</v>
      </c>
      <c r="C64" s="242" t="str">
        <f aca="false">IFERROR(VLOOKUP($B64,'Institution Evaluation'!$A$55:$F$346,2,0),IFERROR(VLOOKUP($B64,'Privacy Analyst Evaluation'!$A$46:$F$120,2,0),""))&amp;""</f>
        <v>Will the institution's data be available within the system for a period of time at the completion of this contract?*</v>
      </c>
      <c r="D64" s="242" t="str">
        <f aca="false">IFERROR(VLOOKUP($B64,'Institution Evaluation'!$A$55:$F$346,3,0),IFERROR(VLOOKUP($B64,'Privacy Analyst Evaluation'!$A$46:$F$120,3,0),""))&amp;""</f>
        <v/>
      </c>
      <c r="E64" s="242" t="str">
        <f aca="false">IFERROR(VLOOKUP($B64,'Institution Evaluation'!$A$55:$F$346,4,0),IFERROR(VLOOKUP($B64,'Privacy Analyst Evaluation'!$A$46:$F$120,4,0),""))&amp;""</f>
        <v>This question does not apply.</v>
      </c>
      <c r="F64" s="242" t="str">
        <f aca="false">IFERROR(VLOOKUP($B64,'Institution Evaluation'!$A$55:$F$346,6,0),IFERROR(VLOOKUP($B64,'Privacy Analyst Evaluation'!$A$46:$F$120,6,0),""))&amp;""</f>
        <v/>
      </c>
      <c r="G64" s="243"/>
      <c r="H64" s="242" t="str">
        <f aca="false">IFERROR(IF($H63+1&gt;'(backend scoring)'!$Q$335,"",$H63+1),"")</f>
        <v/>
      </c>
      <c r="I64" s="242" t="str">
        <f aca="false">_xlfn.XLOOKUP($H64,'(backend scoring)'!$S$2:$S$333,'(backend scoring)'!$A$2:$A$333,"")</f>
        <v/>
      </c>
      <c r="J64" s="242" t="str">
        <f aca="false">IFERROR(VLOOKUP($I64,'Institution Evaluation'!$A$55:$F$346,2,0),IFERROR(VLOOKUP($I64,'Privacy Analyst Evaluation'!$A$46:$F$120,2,0),""))</f>
        <v/>
      </c>
      <c r="K64" s="242" t="str">
        <f aca="false">IFERROR(VLOOKUP($I64,'Institution Evaluation'!$A$55:$F$346,3,0),IFERROR(VLOOKUP($I64,'Privacy Analyst Evaluation'!$A$46:$F$120,3,0),""))&amp;""</f>
        <v/>
      </c>
      <c r="L64" s="242" t="str">
        <f aca="false">IFERROR(VLOOKUP($I64,'Institution Evaluation'!$A$55:$F$346,4,0),IFERROR(VLOOKUP($I64,'Privacy Analyst Evaluation'!$A$46:$F$120,4,0),""))&amp;""</f>
        <v/>
      </c>
      <c r="M64" s="242" t="str">
        <f aca="false">IFERROR(VLOOKUP($I64,'Institution Evaluation'!$A$55:$F$346,6,0),IFERROR(VLOOKUP($I64,'Privacy Analyst Evaluation'!$A$46:$F$120,6,0),""))&amp;""</f>
        <v/>
      </c>
    </row>
    <row r="65" customFormat="false" ht="83.55" hidden="false" customHeight="false" outlineLevel="0" collapsed="false">
      <c r="A65" s="242" t="n">
        <f aca="false">IFERROR(IF($A64+1&gt;'(backend scoring)'!$T$335,"",$A64+1),"")</f>
        <v>41</v>
      </c>
      <c r="B65" s="242" t="str">
        <f aca="false">_xlfn.XLOOKUP($A65,'(backend scoring)'!$V$2:$V$333,'(backend scoring)'!$A$2:$A$333,"")</f>
        <v>DATA-06</v>
      </c>
      <c r="C65" s="242" t="str">
        <f aca="false">IFERROR(VLOOKUP($B65,'Institution Evaluation'!$A$55:$F$346,2,0),IFERROR(VLOOKUP($B65,'Privacy Analyst Evaluation'!$A$46:$F$120,2,0),""))&amp;""</f>
        <v>Are ownership rights to all data, inputs, outputs, and metadata retained even through a provider acquisition or bankruptcy event?*</v>
      </c>
      <c r="D65" s="242" t="str">
        <f aca="false">IFERROR(VLOOKUP($B65,'Institution Evaluation'!$A$55:$F$346,3,0),IFERROR(VLOOKUP($B65,'Privacy Analyst Evaluation'!$A$46:$F$120,3,0),""))&amp;""</f>
        <v/>
      </c>
      <c r="E65" s="242" t="str">
        <f aca="false">IFERROR(VLOOKUP($B65,'Institution Evaluation'!$A$55:$F$346,4,0),IFERROR(VLOOKUP($B65,'Privacy Analyst Evaluation'!$A$46:$F$120,4,0),""))&amp;""</f>
        <v>This question does not apply.</v>
      </c>
      <c r="F65" s="242" t="str">
        <f aca="false">IFERROR(VLOOKUP($B65,'Institution Evaluation'!$A$55:$F$346,6,0),IFERROR(VLOOKUP($B65,'Privacy Analyst Evaluation'!$A$46:$F$120,6,0),""))&amp;""</f>
        <v/>
      </c>
      <c r="G65" s="243"/>
      <c r="H65" s="242" t="str">
        <f aca="false">IFERROR(IF($H64+1&gt;'(backend scoring)'!$Q$335,"",$H64+1),"")</f>
        <v/>
      </c>
      <c r="I65" s="242" t="str">
        <f aca="false">_xlfn.XLOOKUP($H65,'(backend scoring)'!$S$2:$S$333,'(backend scoring)'!$A$2:$A$333,"")</f>
        <v/>
      </c>
      <c r="J65" s="242" t="str">
        <f aca="false">IFERROR(VLOOKUP($I65,'Institution Evaluation'!$A$55:$F$346,2,0),IFERROR(VLOOKUP($I65,'Privacy Analyst Evaluation'!$A$46:$F$120,2,0),""))</f>
        <v/>
      </c>
      <c r="K65" s="242" t="str">
        <f aca="false">IFERROR(VLOOKUP($I65,'Institution Evaluation'!$A$55:$F$346,3,0),IFERROR(VLOOKUP($I65,'Privacy Analyst Evaluation'!$A$46:$F$120,3,0),""))&amp;""</f>
        <v/>
      </c>
      <c r="L65" s="242" t="str">
        <f aca="false">IFERROR(VLOOKUP($I65,'Institution Evaluation'!$A$55:$F$346,4,0),IFERROR(VLOOKUP($I65,'Privacy Analyst Evaluation'!$A$46:$F$120,4,0),""))&amp;""</f>
        <v/>
      </c>
      <c r="M65" s="242" t="str">
        <f aca="false">IFERROR(VLOOKUP($I65,'Institution Evaluation'!$A$55:$F$346,6,0),IFERROR(VLOOKUP($I65,'Privacy Analyst Evaluation'!$A$46:$F$120,6,0),""))&amp;""</f>
        <v/>
      </c>
    </row>
    <row r="66" customFormat="false" ht="83.55" hidden="false" customHeight="false" outlineLevel="0" collapsed="false">
      <c r="A66" s="242" t="n">
        <f aca="false">IFERROR(IF($A65+1&gt;'(backend scoring)'!$T$335,"",$A65+1),"")</f>
        <v>42</v>
      </c>
      <c r="B66" s="242" t="str">
        <f aca="false">_xlfn.XLOOKUP($A66,'(backend scoring)'!$V$2:$V$333,'(backend scoring)'!$A$2:$A$333,"")</f>
        <v>DATA-07</v>
      </c>
      <c r="C66" s="242" t="str">
        <f aca="false">IFERROR(VLOOKUP($B66,'Institution Evaluation'!$A$55:$F$346,2,0),IFERROR(VLOOKUP($B66,'Privacy Analyst Evaluation'!$A$46:$F$120,2,0),""))&amp;""</f>
        <v>Do backups containing the institution's data ever leave the institution's data zone either physically or via network routing?*</v>
      </c>
      <c r="D66" s="242" t="str">
        <f aca="false">IFERROR(VLOOKUP($B66,'Institution Evaluation'!$A$55:$F$346,3,0),IFERROR(VLOOKUP($B66,'Privacy Analyst Evaluation'!$A$46:$F$120,3,0),""))&amp;""</f>
        <v/>
      </c>
      <c r="E66" s="242" t="str">
        <f aca="false">IFERROR(VLOOKUP($B66,'Institution Evaluation'!$A$55:$F$346,4,0),IFERROR(VLOOKUP($B66,'Privacy Analyst Evaluation'!$A$46:$F$120,4,0),""))&amp;""</f>
        <v>This question does not apply.</v>
      </c>
      <c r="F66" s="242" t="str">
        <f aca="false">IFERROR(VLOOKUP($B66,'Institution Evaluation'!$A$55:$F$346,6,0),IFERROR(VLOOKUP($B66,'Privacy Analyst Evaluation'!$A$46:$F$120,6,0),""))&amp;""</f>
        <v/>
      </c>
      <c r="G66" s="243"/>
      <c r="H66" s="242" t="str">
        <f aca="false">IFERROR(IF($H65+1&gt;'(backend scoring)'!$Q$335,"",$H65+1),"")</f>
        <v/>
      </c>
      <c r="I66" s="242" t="str">
        <f aca="false">_xlfn.XLOOKUP($H66,'(backend scoring)'!$S$2:$S$333,'(backend scoring)'!$A$2:$A$333,"")</f>
        <v/>
      </c>
      <c r="J66" s="242" t="str">
        <f aca="false">IFERROR(VLOOKUP($I66,'Institution Evaluation'!$A$55:$F$346,2,0),IFERROR(VLOOKUP($I66,'Privacy Analyst Evaluation'!$A$46:$F$120,2,0),""))</f>
        <v/>
      </c>
      <c r="K66" s="242" t="str">
        <f aca="false">IFERROR(VLOOKUP($I66,'Institution Evaluation'!$A$55:$F$346,3,0),IFERROR(VLOOKUP($I66,'Privacy Analyst Evaluation'!$A$46:$F$120,3,0),""))&amp;""</f>
        <v/>
      </c>
      <c r="L66" s="242" t="str">
        <f aca="false">IFERROR(VLOOKUP($I66,'Institution Evaluation'!$A$55:$F$346,4,0),IFERROR(VLOOKUP($I66,'Privacy Analyst Evaluation'!$A$46:$F$120,4,0),""))&amp;""</f>
        <v/>
      </c>
      <c r="M66" s="242" t="str">
        <f aca="false">IFERROR(VLOOKUP($I66,'Institution Evaluation'!$A$55:$F$346,6,0),IFERROR(VLOOKUP($I66,'Privacy Analyst Evaluation'!$A$46:$F$120,6,0),""))&amp;""</f>
        <v/>
      </c>
    </row>
    <row r="67" customFormat="false" ht="83.55" hidden="false" customHeight="false" outlineLevel="0" collapsed="false">
      <c r="A67" s="242" t="n">
        <f aca="false">IFERROR(IF($A66+1&gt;'(backend scoring)'!$T$335,"",$A66+1),"")</f>
        <v>43</v>
      </c>
      <c r="B67" s="242" t="str">
        <f aca="false">_xlfn.XLOOKUP($A67,'(backend scoring)'!$V$2:$V$333,'(backend scoring)'!$A$2:$A$333,"")</f>
        <v>DATA-08</v>
      </c>
      <c r="C67" s="242" t="str">
        <f aca="false">IFERROR(VLOOKUP($B67,'Institution Evaluation'!$A$55:$F$346,2,0),IFERROR(VLOOKUP($B67,'Privacy Analyst Evaluation'!$A$46:$F$120,2,0),""))&amp;""</f>
        <v>Is media used for long-term retention of business data and archival purposes stored in a secure, environmentally protected area?*</v>
      </c>
      <c r="D67" s="242" t="str">
        <f aca="false">IFERROR(VLOOKUP($B67,'Institution Evaluation'!$A$55:$F$346,3,0),IFERROR(VLOOKUP($B67,'Privacy Analyst Evaluation'!$A$46:$F$120,3,0),""))&amp;""</f>
        <v/>
      </c>
      <c r="E67" s="242" t="str">
        <f aca="false">IFERROR(VLOOKUP($B67,'Institution Evaluation'!$A$55:$F$346,4,0),IFERROR(VLOOKUP($B67,'Privacy Analyst Evaluation'!$A$46:$F$120,4,0),""))&amp;""</f>
        <v>This question does not apply.</v>
      </c>
      <c r="F67" s="242" t="str">
        <f aca="false">IFERROR(VLOOKUP($B67,'Institution Evaluation'!$A$55:$F$346,6,0),IFERROR(VLOOKUP($B67,'Privacy Analyst Evaluation'!$A$46:$F$120,6,0),""))&amp;""</f>
        <v/>
      </c>
      <c r="G67" s="243"/>
      <c r="H67" s="242" t="str">
        <f aca="false">IFERROR(IF($H66+1&gt;'(backend scoring)'!$Q$335,"",$H66+1),"")</f>
        <v/>
      </c>
      <c r="I67" s="242" t="str">
        <f aca="false">_xlfn.XLOOKUP($H67,'(backend scoring)'!$S$2:$S$333,'(backend scoring)'!$A$2:$A$333,"")</f>
        <v/>
      </c>
      <c r="J67" s="242" t="str">
        <f aca="false">IFERROR(VLOOKUP($I67,'Institution Evaluation'!$A$55:$F$346,2,0),IFERROR(VLOOKUP($I67,'Privacy Analyst Evaluation'!$A$46:$F$120,2,0),""))</f>
        <v/>
      </c>
      <c r="K67" s="242" t="str">
        <f aca="false">IFERROR(VLOOKUP($I67,'Institution Evaluation'!$A$55:$F$346,3,0),IFERROR(VLOOKUP($I67,'Privacy Analyst Evaluation'!$A$46:$F$120,3,0),""))&amp;""</f>
        <v/>
      </c>
      <c r="L67" s="242" t="str">
        <f aca="false">IFERROR(VLOOKUP($I67,'Institution Evaluation'!$A$55:$F$346,4,0),IFERROR(VLOOKUP($I67,'Privacy Analyst Evaluation'!$A$46:$F$120,4,0),""))&amp;""</f>
        <v/>
      </c>
      <c r="M67" s="242" t="str">
        <f aca="false">IFERROR(VLOOKUP($I67,'Institution Evaluation'!$A$55:$F$346,6,0),IFERROR(VLOOKUP($I67,'Privacy Analyst Evaluation'!$A$46:$F$120,6,0),""))&amp;""</f>
        <v/>
      </c>
    </row>
    <row r="68" customFormat="false" ht="83.55" hidden="false" customHeight="false" outlineLevel="0" collapsed="false">
      <c r="A68" s="242" t="n">
        <f aca="false">IFERROR(IF($A67+1&gt;'(backend scoring)'!$T$335,"",$A67+1),"")</f>
        <v>44</v>
      </c>
      <c r="B68" s="242" t="str">
        <f aca="false">_xlfn.XLOOKUP($A68,'(backend scoring)'!$V$2:$V$333,'(backend scoring)'!$A$2:$A$333,"")</f>
        <v>DCTR-06</v>
      </c>
      <c r="C68" s="242" t="str">
        <f aca="false">IFERROR(VLOOKUP($B68,'Institution Evaluation'!$A$55:$F$346,2,0),IFERROR(VLOOKUP($B68,'Privacy Analyst Evaluation'!$A$46:$F$120,2,0),""))&amp;""</f>
        <v>Does a physical barrier fully enclose the physical space, preventing unauthorized physical contact with any of your devices?*</v>
      </c>
      <c r="D68" s="242" t="str">
        <f aca="false">IFERROR(VLOOKUP($B68,'Institution Evaluation'!$A$55:$F$346,3,0),IFERROR(VLOOKUP($B68,'Privacy Analyst Evaluation'!$A$46:$F$120,3,0),""))&amp;""</f>
        <v/>
      </c>
      <c r="E68" s="242" t="str">
        <f aca="false">IFERROR(VLOOKUP($B68,'Institution Evaluation'!$A$55:$F$346,4,0),IFERROR(VLOOKUP($B68,'Privacy Analyst Evaluation'!$A$46:$F$120,4,0),""))&amp;""</f>
        <v/>
      </c>
      <c r="F68" s="242" t="str">
        <f aca="false">IFERROR(VLOOKUP($B68,'Institution Evaluation'!$A$55:$F$346,6,0),IFERROR(VLOOKUP($B68,'Privacy Analyst Evaluation'!$A$46:$F$120,6,0),""))&amp;""</f>
        <v/>
      </c>
      <c r="G68" s="243"/>
      <c r="H68" s="242" t="str">
        <f aca="false">IFERROR(IF($H67+1&gt;'(backend scoring)'!$Q$335,"",$H67+1),"")</f>
        <v/>
      </c>
      <c r="I68" s="242" t="str">
        <f aca="false">_xlfn.XLOOKUP($H68,'(backend scoring)'!$S$2:$S$333,'(backend scoring)'!$A$2:$A$333,"")</f>
        <v/>
      </c>
      <c r="J68" s="242" t="str">
        <f aca="false">IFERROR(VLOOKUP($I68,'Institution Evaluation'!$A$55:$F$346,2,0),IFERROR(VLOOKUP($I68,'Privacy Analyst Evaluation'!$A$46:$F$120,2,0),""))</f>
        <v/>
      </c>
      <c r="K68" s="242" t="str">
        <f aca="false">IFERROR(VLOOKUP($I68,'Institution Evaluation'!$A$55:$F$346,3,0),IFERROR(VLOOKUP($I68,'Privacy Analyst Evaluation'!$A$46:$F$120,3,0),""))&amp;""</f>
        <v/>
      </c>
      <c r="L68" s="242" t="str">
        <f aca="false">IFERROR(VLOOKUP($I68,'Institution Evaluation'!$A$55:$F$346,4,0),IFERROR(VLOOKUP($I68,'Privacy Analyst Evaluation'!$A$46:$F$120,4,0),""))&amp;""</f>
        <v/>
      </c>
      <c r="M68" s="242" t="str">
        <f aca="false">IFERROR(VLOOKUP($I68,'Institution Evaluation'!$A$55:$F$346,6,0),IFERROR(VLOOKUP($I68,'Privacy Analyst Evaluation'!$A$46:$F$120,6,0),""))&amp;""</f>
        <v/>
      </c>
    </row>
    <row r="69" customFormat="false" ht="34.3" hidden="false" customHeight="false" outlineLevel="0" collapsed="false">
      <c r="A69" s="242" t="n">
        <f aca="false">IFERROR(IF($A68+1&gt;'(backend scoring)'!$T$335,"",$A68+1),"")</f>
        <v>45</v>
      </c>
      <c r="B69" s="242" t="str">
        <f aca="false">_xlfn.XLOOKUP($A69,'(backend scoring)'!$V$2:$V$333,'(backend scoring)'!$A$2:$A$333,"")</f>
        <v>DCTR-10</v>
      </c>
      <c r="C69" s="242" t="str">
        <f aca="false">IFERROR(VLOOKUP($B69,'Institution Evaluation'!$A$55:$F$346,2,0),IFERROR(VLOOKUP($B69,'Privacy Analyst Evaluation'!$A$46:$F$120,2,0),""))&amp;""</f>
        <v>Are redundant power strategies tested?*</v>
      </c>
      <c r="D69" s="242" t="str">
        <f aca="false">IFERROR(VLOOKUP($B69,'Institution Evaluation'!$A$55:$F$346,3,0),IFERROR(VLOOKUP($B69,'Privacy Analyst Evaluation'!$A$46:$F$120,3,0),""))&amp;""</f>
        <v/>
      </c>
      <c r="E69" s="242" t="str">
        <f aca="false">IFERROR(VLOOKUP($B69,'Institution Evaluation'!$A$55:$F$346,4,0),IFERROR(VLOOKUP($B69,'Privacy Analyst Evaluation'!$A$46:$F$120,4,0),""))&amp;""</f>
        <v/>
      </c>
      <c r="F69" s="242" t="str">
        <f aca="false">IFERROR(VLOOKUP($B69,'Institution Evaluation'!$A$55:$F$346,6,0),IFERROR(VLOOKUP($B69,'Privacy Analyst Evaluation'!$A$46:$F$120,6,0),""))&amp;""</f>
        <v/>
      </c>
      <c r="G69" s="243"/>
      <c r="H69" s="242" t="str">
        <f aca="false">IFERROR(IF($H68+1&gt;'(backend scoring)'!$Q$335,"",$H68+1),"")</f>
        <v/>
      </c>
      <c r="I69" s="242" t="str">
        <f aca="false">_xlfn.XLOOKUP($H69,'(backend scoring)'!$S$2:$S$333,'(backend scoring)'!$A$2:$A$333,"")</f>
        <v/>
      </c>
      <c r="J69" s="242" t="str">
        <f aca="false">IFERROR(VLOOKUP($I69,'Institution Evaluation'!$A$55:$F$346,2,0),IFERROR(VLOOKUP($I69,'Privacy Analyst Evaluation'!$A$46:$F$120,2,0),""))</f>
        <v/>
      </c>
      <c r="K69" s="242" t="str">
        <f aca="false">IFERROR(VLOOKUP($I69,'Institution Evaluation'!$A$55:$F$346,3,0),IFERROR(VLOOKUP($I69,'Privacy Analyst Evaluation'!$A$46:$F$120,3,0),""))&amp;""</f>
        <v/>
      </c>
      <c r="L69" s="242" t="str">
        <f aca="false">IFERROR(VLOOKUP($I69,'Institution Evaluation'!$A$55:$F$346,4,0),IFERROR(VLOOKUP($I69,'Privacy Analyst Evaluation'!$A$46:$F$120,4,0),""))&amp;""</f>
        <v/>
      </c>
      <c r="M69" s="242" t="str">
        <f aca="false">IFERROR(VLOOKUP($I69,'Institution Evaluation'!$A$55:$F$346,6,0),IFERROR(VLOOKUP($I69,'Privacy Analyst Evaluation'!$A$46:$F$120,6,0),""))&amp;""</f>
        <v/>
      </c>
    </row>
    <row r="70" customFormat="false" ht="50.7" hidden="false" customHeight="false" outlineLevel="0" collapsed="false">
      <c r="A70" s="242" t="n">
        <f aca="false">IFERROR(IF($A69+1&gt;'(backend scoring)'!$T$335,"",$A69+1),"")</f>
        <v>46</v>
      </c>
      <c r="B70" s="242" t="str">
        <f aca="false">_xlfn.XLOOKUP($A70,'(backend scoring)'!$V$2:$V$333,'(backend scoring)'!$A$2:$A$333,"")</f>
        <v>FIDP-01</v>
      </c>
      <c r="C70" s="242" t="str">
        <f aca="false">IFERROR(VLOOKUP($B70,'Institution Evaluation'!$A$55:$F$346,2,0),IFERROR(VLOOKUP($B70,'Privacy Analyst Evaluation'!$A$46:$F$120,2,0),""))&amp;""</f>
        <v>Are you utilizing a stateful packet inspection (SPI) firewall?*</v>
      </c>
      <c r="D70" s="242" t="str">
        <f aca="false">IFERROR(VLOOKUP($B70,'Institution Evaluation'!$A$55:$F$346,3,0),IFERROR(VLOOKUP($B70,'Privacy Analyst Evaluation'!$A$46:$F$120,3,0),""))&amp;""</f>
        <v/>
      </c>
      <c r="E70" s="242" t="str">
        <f aca="false">IFERROR(VLOOKUP($B70,'Institution Evaluation'!$A$55:$F$346,4,0),IFERROR(VLOOKUP($B70,'Privacy Analyst Evaluation'!$A$46:$F$120,4,0),""))&amp;""</f>
        <v>This question does not apply.</v>
      </c>
      <c r="F70" s="242" t="str">
        <f aca="false">IFERROR(VLOOKUP($B70,'Institution Evaluation'!$A$55:$F$346,6,0),IFERROR(VLOOKUP($B70,'Privacy Analyst Evaluation'!$A$46:$F$120,6,0),""))&amp;""</f>
        <v/>
      </c>
      <c r="G70" s="243"/>
      <c r="H70" s="242" t="str">
        <f aca="false">IFERROR(IF($H69+1&gt;'(backend scoring)'!$Q$335,"",$H69+1),"")</f>
        <v/>
      </c>
      <c r="I70" s="242" t="str">
        <f aca="false">_xlfn.XLOOKUP($H70,'(backend scoring)'!$S$2:$S$333,'(backend scoring)'!$A$2:$A$333,"")</f>
        <v/>
      </c>
      <c r="J70" s="242" t="str">
        <f aca="false">IFERROR(VLOOKUP($I70,'Institution Evaluation'!$A$55:$F$346,2,0),IFERROR(VLOOKUP($I70,'Privacy Analyst Evaluation'!$A$46:$F$120,2,0),""))</f>
        <v/>
      </c>
      <c r="K70" s="242" t="str">
        <f aca="false">IFERROR(VLOOKUP($I70,'Institution Evaluation'!$A$55:$F$346,3,0),IFERROR(VLOOKUP($I70,'Privacy Analyst Evaluation'!$A$46:$F$120,3,0),""))&amp;""</f>
        <v/>
      </c>
      <c r="L70" s="242" t="str">
        <f aca="false">IFERROR(VLOOKUP($I70,'Institution Evaluation'!$A$55:$F$346,4,0),IFERROR(VLOOKUP($I70,'Privacy Analyst Evaluation'!$A$46:$F$120,4,0),""))&amp;""</f>
        <v/>
      </c>
      <c r="M70" s="242" t="str">
        <f aca="false">IFERROR(VLOOKUP($I70,'Institution Evaluation'!$A$55:$F$346,6,0),IFERROR(VLOOKUP($I70,'Privacy Analyst Evaluation'!$A$46:$F$120,6,0),""))&amp;""</f>
        <v/>
      </c>
    </row>
    <row r="71" customFormat="false" ht="50.7" hidden="false" customHeight="false" outlineLevel="0" collapsed="false">
      <c r="A71" s="242" t="n">
        <f aca="false">IFERROR(IF($A70+1&gt;'(backend scoring)'!$T$335,"",$A70+1),"")</f>
        <v>47</v>
      </c>
      <c r="B71" s="242" t="str">
        <f aca="false">_xlfn.XLOOKUP($A71,'(backend scoring)'!$V$2:$V$333,'(backend scoring)'!$A$2:$A$333,"")</f>
        <v>FIDP-02</v>
      </c>
      <c r="C71" s="242" t="str">
        <f aca="false">IFERROR(VLOOKUP($B71,'Institution Evaluation'!$A$55:$F$346,2,0),IFERROR(VLOOKUP($B71,'Privacy Analyst Evaluation'!$A$46:$F$120,2,0),""))&amp;""</f>
        <v>Do you have a documented policy for firewall change requests?*</v>
      </c>
      <c r="D71" s="242" t="str">
        <f aca="false">IFERROR(VLOOKUP($B71,'Institution Evaluation'!$A$55:$F$346,3,0),IFERROR(VLOOKUP($B71,'Privacy Analyst Evaluation'!$A$46:$F$120,3,0),""))&amp;""</f>
        <v/>
      </c>
      <c r="E71" s="242" t="str">
        <f aca="false">IFERROR(VLOOKUP($B71,'Institution Evaluation'!$A$55:$F$346,4,0),IFERROR(VLOOKUP($B71,'Privacy Analyst Evaluation'!$A$46:$F$120,4,0),""))&amp;""</f>
        <v>This question does not apply.</v>
      </c>
      <c r="F71" s="242" t="str">
        <f aca="false">IFERROR(VLOOKUP($B71,'Institution Evaluation'!$A$55:$F$346,6,0),IFERROR(VLOOKUP($B71,'Privacy Analyst Evaluation'!$A$46:$F$120,6,0),""))&amp;""</f>
        <v/>
      </c>
      <c r="G71" s="243"/>
      <c r="H71" s="242" t="str">
        <f aca="false">IFERROR(IF($H70+1&gt;'(backend scoring)'!$Q$335,"",$H70+1),"")</f>
        <v/>
      </c>
      <c r="I71" s="242" t="str">
        <f aca="false">_xlfn.XLOOKUP($H71,'(backend scoring)'!$S$2:$S$333,'(backend scoring)'!$A$2:$A$333,"")</f>
        <v/>
      </c>
      <c r="J71" s="242" t="str">
        <f aca="false">IFERROR(VLOOKUP($I71,'Institution Evaluation'!$A$55:$F$346,2,0),IFERROR(VLOOKUP($I71,'Privacy Analyst Evaluation'!$A$46:$F$120,2,0),""))</f>
        <v/>
      </c>
      <c r="K71" s="242" t="str">
        <f aca="false">IFERROR(VLOOKUP($I71,'Institution Evaluation'!$A$55:$F$346,3,0),IFERROR(VLOOKUP($I71,'Privacy Analyst Evaluation'!$A$46:$F$120,3,0),""))&amp;""</f>
        <v/>
      </c>
      <c r="L71" s="242" t="str">
        <f aca="false">IFERROR(VLOOKUP($I71,'Institution Evaluation'!$A$55:$F$346,4,0),IFERROR(VLOOKUP($I71,'Privacy Analyst Evaluation'!$A$46:$F$120,4,0),""))&amp;""</f>
        <v/>
      </c>
      <c r="M71" s="242" t="str">
        <f aca="false">IFERROR(VLOOKUP($I71,'Institution Evaluation'!$A$55:$F$346,6,0),IFERROR(VLOOKUP($I71,'Privacy Analyst Evaluation'!$A$46:$F$120,6,0),""))&amp;""</f>
        <v/>
      </c>
    </row>
    <row r="72" customFormat="false" ht="50.7" hidden="false" customHeight="false" outlineLevel="0" collapsed="false">
      <c r="A72" s="242" t="n">
        <f aca="false">IFERROR(IF($A71+1&gt;'(backend scoring)'!$T$335,"",$A71+1),"")</f>
        <v>48</v>
      </c>
      <c r="B72" s="242" t="str">
        <f aca="false">_xlfn.XLOOKUP($A72,'(backend scoring)'!$V$2:$V$333,'(backend scoring)'!$A$2:$A$333,"")</f>
        <v>FIDP-03</v>
      </c>
      <c r="C72" s="242" t="str">
        <f aca="false">IFERROR(VLOOKUP($B72,'Institution Evaluation'!$A$55:$F$346,2,0),IFERROR(VLOOKUP($B72,'Privacy Analyst Evaluation'!$A$46:$F$120,2,0),""))&amp;""</f>
        <v>Have you implemented an intrusion detection system (network-based)?*</v>
      </c>
      <c r="D72" s="242" t="str">
        <f aca="false">IFERROR(VLOOKUP($B72,'Institution Evaluation'!$A$55:$F$346,3,0),IFERROR(VLOOKUP($B72,'Privacy Analyst Evaluation'!$A$46:$F$120,3,0),""))&amp;""</f>
        <v/>
      </c>
      <c r="E72" s="242" t="str">
        <f aca="false">IFERROR(VLOOKUP($B72,'Institution Evaluation'!$A$55:$F$346,4,0),IFERROR(VLOOKUP($B72,'Privacy Analyst Evaluation'!$A$46:$F$120,4,0),""))&amp;""</f>
        <v>This question does not apply.</v>
      </c>
      <c r="F72" s="242" t="str">
        <f aca="false">IFERROR(VLOOKUP($B72,'Institution Evaluation'!$A$55:$F$346,6,0),IFERROR(VLOOKUP($B72,'Privacy Analyst Evaluation'!$A$46:$F$120,6,0),""))&amp;""</f>
        <v/>
      </c>
      <c r="G72" s="243"/>
      <c r="H72" s="242" t="str">
        <f aca="false">IFERROR(IF($H71+1&gt;'(backend scoring)'!$Q$335,"",$H71+1),"")</f>
        <v/>
      </c>
      <c r="I72" s="242" t="str">
        <f aca="false">_xlfn.XLOOKUP($H72,'(backend scoring)'!$S$2:$S$333,'(backend scoring)'!$A$2:$A$333,"")</f>
        <v/>
      </c>
      <c r="J72" s="242" t="str">
        <f aca="false">IFERROR(VLOOKUP($I72,'Institution Evaluation'!$A$55:$F$346,2,0),IFERROR(VLOOKUP($I72,'Privacy Analyst Evaluation'!$A$46:$F$120,2,0),""))</f>
        <v/>
      </c>
      <c r="K72" s="242" t="str">
        <f aca="false">IFERROR(VLOOKUP($I72,'Institution Evaluation'!$A$55:$F$346,3,0),IFERROR(VLOOKUP($I72,'Privacy Analyst Evaluation'!$A$46:$F$120,3,0),""))&amp;""</f>
        <v/>
      </c>
      <c r="L72" s="242" t="str">
        <f aca="false">IFERROR(VLOOKUP($I72,'Institution Evaluation'!$A$55:$F$346,4,0),IFERROR(VLOOKUP($I72,'Privacy Analyst Evaluation'!$A$46:$F$120,4,0),""))&amp;""</f>
        <v/>
      </c>
      <c r="M72" s="242" t="str">
        <f aca="false">IFERROR(VLOOKUP($I72,'Institution Evaluation'!$A$55:$F$346,6,0),IFERROR(VLOOKUP($I72,'Privacy Analyst Evaluation'!$A$46:$F$120,6,0),""))&amp;""</f>
        <v/>
      </c>
    </row>
    <row r="73" customFormat="false" ht="34.3" hidden="false" customHeight="false" outlineLevel="0" collapsed="false">
      <c r="A73" s="242" t="n">
        <f aca="false">IFERROR(IF($A72+1&gt;'(backend scoring)'!$T$335,"",$A72+1),"")</f>
        <v>49</v>
      </c>
      <c r="B73" s="242" t="str">
        <f aca="false">_xlfn.XLOOKUP($A73,'(backend scoring)'!$V$2:$V$333,'(backend scoring)'!$A$2:$A$333,"")</f>
        <v>FIDP-04</v>
      </c>
      <c r="C73" s="242" t="str">
        <f aca="false">IFERROR(VLOOKUP($B73,'Institution Evaluation'!$A$55:$F$346,2,0),IFERROR(VLOOKUP($B73,'Privacy Analyst Evaluation'!$A$46:$F$120,2,0),""))&amp;""</f>
        <v>Do you employ host-based intrusion detection?*</v>
      </c>
      <c r="D73" s="242" t="str">
        <f aca="false">IFERROR(VLOOKUP($B73,'Institution Evaluation'!$A$55:$F$346,3,0),IFERROR(VLOOKUP($B73,'Privacy Analyst Evaluation'!$A$46:$F$120,3,0),""))&amp;""</f>
        <v/>
      </c>
      <c r="E73" s="242" t="str">
        <f aca="false">IFERROR(VLOOKUP($B73,'Institution Evaluation'!$A$55:$F$346,4,0),IFERROR(VLOOKUP($B73,'Privacy Analyst Evaluation'!$A$46:$F$120,4,0),""))&amp;""</f>
        <v>This question does not apply.</v>
      </c>
      <c r="F73" s="242" t="str">
        <f aca="false">IFERROR(VLOOKUP($B73,'Institution Evaluation'!$A$55:$F$346,6,0),IFERROR(VLOOKUP($B73,'Privacy Analyst Evaluation'!$A$46:$F$120,6,0),""))&amp;""</f>
        <v/>
      </c>
      <c r="G73" s="243"/>
      <c r="H73" s="242" t="str">
        <f aca="false">IFERROR(IF($H72+1&gt;'(backend scoring)'!$Q$335,"",$H72+1),"")</f>
        <v/>
      </c>
      <c r="I73" s="242" t="str">
        <f aca="false">_xlfn.XLOOKUP($H73,'(backend scoring)'!$S$2:$S$333,'(backend scoring)'!$A$2:$A$333,"")</f>
        <v/>
      </c>
      <c r="J73" s="242" t="str">
        <f aca="false">IFERROR(VLOOKUP($I73,'Institution Evaluation'!$A$55:$F$346,2,0),IFERROR(VLOOKUP($I73,'Privacy Analyst Evaluation'!$A$46:$F$120,2,0),""))</f>
        <v/>
      </c>
      <c r="K73" s="242" t="str">
        <f aca="false">IFERROR(VLOOKUP($I73,'Institution Evaluation'!$A$55:$F$346,3,0),IFERROR(VLOOKUP($I73,'Privacy Analyst Evaluation'!$A$46:$F$120,3,0),""))&amp;""</f>
        <v/>
      </c>
      <c r="L73" s="242" t="str">
        <f aca="false">IFERROR(VLOOKUP($I73,'Institution Evaluation'!$A$55:$F$346,4,0),IFERROR(VLOOKUP($I73,'Privacy Analyst Evaluation'!$A$46:$F$120,4,0),""))&amp;""</f>
        <v/>
      </c>
      <c r="M73" s="242" t="str">
        <f aca="false">IFERROR(VLOOKUP($I73,'Institution Evaluation'!$A$55:$F$346,6,0),IFERROR(VLOOKUP($I73,'Privacy Analyst Evaluation'!$A$46:$F$120,6,0),""))&amp;""</f>
        <v/>
      </c>
    </row>
    <row r="74" customFormat="false" ht="50.7" hidden="false" customHeight="false" outlineLevel="0" collapsed="false">
      <c r="A74" s="242" t="n">
        <f aca="false">IFERROR(IF($A73+1&gt;'(backend scoring)'!$T$335,"",$A73+1),"")</f>
        <v>50</v>
      </c>
      <c r="B74" s="242" t="str">
        <f aca="false">_xlfn.XLOOKUP($A74,'(backend scoring)'!$V$2:$V$333,'(backend scoring)'!$A$2:$A$333,"")</f>
        <v>FIDP-05</v>
      </c>
      <c r="C74" s="242" t="str">
        <f aca="false">IFERROR(VLOOKUP($B74,'Institution Evaluation'!$A$55:$F$346,2,0),IFERROR(VLOOKUP($B74,'Privacy Analyst Evaluation'!$A$46:$F$120,2,0),""))&amp;""</f>
        <v>Are audit logs available for all changes to the network, firewall, IDS, and IPS systems?*</v>
      </c>
      <c r="D74" s="242" t="str">
        <f aca="false">IFERROR(VLOOKUP($B74,'Institution Evaluation'!$A$55:$F$346,3,0),IFERROR(VLOOKUP($B74,'Privacy Analyst Evaluation'!$A$46:$F$120,3,0),""))&amp;""</f>
        <v/>
      </c>
      <c r="E74" s="242" t="str">
        <f aca="false">IFERROR(VLOOKUP($B74,'Institution Evaluation'!$A$55:$F$346,4,0),IFERROR(VLOOKUP($B74,'Privacy Analyst Evaluation'!$A$46:$F$120,4,0),""))&amp;""</f>
        <v>This question does not apply.</v>
      </c>
      <c r="F74" s="242" t="str">
        <f aca="false">IFERROR(VLOOKUP($B74,'Institution Evaluation'!$A$55:$F$346,6,0),IFERROR(VLOOKUP($B74,'Privacy Analyst Evaluation'!$A$46:$F$120,6,0),""))&amp;""</f>
        <v/>
      </c>
      <c r="G74" s="243"/>
      <c r="H74" s="242" t="str">
        <f aca="false">IFERROR(IF($H73+1&gt;'(backend scoring)'!$Q$335,"",$H73+1),"")</f>
        <v/>
      </c>
      <c r="I74" s="242" t="str">
        <f aca="false">_xlfn.XLOOKUP($H74,'(backend scoring)'!$S$2:$S$333,'(backend scoring)'!$A$2:$A$333,"")</f>
        <v/>
      </c>
      <c r="J74" s="242" t="str">
        <f aca="false">IFERROR(VLOOKUP($I74,'Institution Evaluation'!$A$55:$F$346,2,0),IFERROR(VLOOKUP($I74,'Privacy Analyst Evaluation'!$A$46:$F$120,2,0),""))</f>
        <v/>
      </c>
      <c r="K74" s="242" t="str">
        <f aca="false">IFERROR(VLOOKUP($I74,'Institution Evaluation'!$A$55:$F$346,3,0),IFERROR(VLOOKUP($I74,'Privacy Analyst Evaluation'!$A$46:$F$120,3,0),""))&amp;""</f>
        <v/>
      </c>
      <c r="L74" s="242" t="str">
        <f aca="false">IFERROR(VLOOKUP($I74,'Institution Evaluation'!$A$55:$F$346,4,0),IFERROR(VLOOKUP($I74,'Privacy Analyst Evaluation'!$A$46:$F$120,4,0),""))&amp;""</f>
        <v/>
      </c>
      <c r="M74" s="242" t="str">
        <f aca="false">IFERROR(VLOOKUP($I74,'Institution Evaluation'!$A$55:$F$346,6,0),IFERROR(VLOOKUP($I74,'Privacy Analyst Evaluation'!$A$46:$F$120,6,0),""))&amp;""</f>
        <v/>
      </c>
    </row>
    <row r="75" customFormat="false" ht="34.3" hidden="false" customHeight="false" outlineLevel="0" collapsed="false">
      <c r="A75" s="242" t="n">
        <f aca="false">IFERROR(IF($A74+1&gt;'(backend scoring)'!$T$335,"",$A74+1),"")</f>
        <v>51</v>
      </c>
      <c r="B75" s="242" t="str">
        <f aca="false">_xlfn.XLOOKUP($A75,'(backend scoring)'!$V$2:$V$333,'(backend scoring)'!$A$2:$A$333,"")</f>
        <v>PPPR-01</v>
      </c>
      <c r="C75" s="242" t="str">
        <f aca="false">IFERROR(VLOOKUP($B75,'Institution Evaluation'!$A$55:$F$346,2,0),IFERROR(VLOOKUP($B75,'Privacy Analyst Evaluation'!$A$46:$F$120,2,0),""))&amp;""</f>
        <v>Do you have a documented patch management process?*</v>
      </c>
      <c r="D75" s="242" t="str">
        <f aca="false">IFERROR(VLOOKUP($B75,'Institution Evaluation'!$A$55:$F$346,3,0),IFERROR(VLOOKUP($B75,'Privacy Analyst Evaluation'!$A$46:$F$120,3,0),""))&amp;""</f>
        <v>Yes</v>
      </c>
      <c r="E75" s="242" t="str">
        <f aca="false">IFERROR(VLOOKUP($B75,'Institution Evaluation'!$A$55:$F$346,4,0),IFERROR(VLOOKUP($B75,'Privacy Analyst Evaluation'!$A$46:$F$120,4,0),""))&amp;""</f>
        <v/>
      </c>
      <c r="F75" s="242" t="str">
        <f aca="false">IFERROR(VLOOKUP($B75,'Institution Evaluation'!$A$55:$F$346,6,0),IFERROR(VLOOKUP($B75,'Privacy Analyst Evaluation'!$A$46:$F$120,6,0),""))&amp;""</f>
        <v/>
      </c>
      <c r="G75" s="243"/>
      <c r="H75" s="242" t="str">
        <f aca="false">IFERROR(IF($H74+1&gt;'(backend scoring)'!$Q$335,"",$H74+1),"")</f>
        <v/>
      </c>
      <c r="I75" s="242" t="str">
        <f aca="false">_xlfn.XLOOKUP($H75,'(backend scoring)'!$S$2:$S$333,'(backend scoring)'!$A$2:$A$333,"")</f>
        <v/>
      </c>
      <c r="J75" s="242" t="str">
        <f aca="false">IFERROR(VLOOKUP($I75,'Institution Evaluation'!$A$55:$F$346,2,0),IFERROR(VLOOKUP($I75,'Privacy Analyst Evaluation'!$A$46:$F$120,2,0),""))</f>
        <v/>
      </c>
      <c r="K75" s="242" t="str">
        <f aca="false">IFERROR(VLOOKUP($I75,'Institution Evaluation'!$A$55:$F$346,3,0),IFERROR(VLOOKUP($I75,'Privacy Analyst Evaluation'!$A$46:$F$120,3,0),""))&amp;""</f>
        <v/>
      </c>
      <c r="L75" s="242" t="str">
        <f aca="false">IFERROR(VLOOKUP($I75,'Institution Evaluation'!$A$55:$F$346,4,0),IFERROR(VLOOKUP($I75,'Privacy Analyst Evaluation'!$A$46:$F$120,4,0),""))&amp;""</f>
        <v/>
      </c>
      <c r="M75" s="242" t="str">
        <f aca="false">IFERROR(VLOOKUP($I75,'Institution Evaluation'!$A$55:$F$346,6,0),IFERROR(VLOOKUP($I75,'Privacy Analyst Evaluation'!$A$46:$F$120,6,0),""))&amp;""</f>
        <v/>
      </c>
    </row>
    <row r="76" customFormat="false" ht="99.95" hidden="false" customHeight="false" outlineLevel="0" collapsed="false">
      <c r="A76" s="242" t="n">
        <f aca="false">IFERROR(IF($A75+1&gt;'(backend scoring)'!$T$335,"",$A75+1),"")</f>
        <v>52</v>
      </c>
      <c r="B76" s="242" t="str">
        <f aca="false">_xlfn.XLOOKUP($A76,'(backend scoring)'!$V$2:$V$333,'(backend scoring)'!$A$2:$A$333,"")</f>
        <v>PPPR-02</v>
      </c>
      <c r="C76" s="242" t="str">
        <f aca="false">IFERROR(VLOOKUP($B76,'Institution Evaluation'!$A$55:$F$346,2,0),IFERROR(VLOOKUP($B76,'Privacy Analyst Evaluation'!$A$46:$F$120,2,0),""))&amp;""</f>
        <v>Can your organization comply with institutional policies on privacy and data protection with regard to users of institutional systems, if required?*</v>
      </c>
      <c r="D76" s="242" t="str">
        <f aca="false">IFERROR(VLOOKUP($B76,'Institution Evaluation'!$A$55:$F$346,3,0),IFERROR(VLOOKUP($B76,'Privacy Analyst Evaluation'!$A$46:$F$120,3,0),""))&amp;""</f>
        <v>Yes</v>
      </c>
      <c r="E76" s="242" t="str">
        <f aca="false">IFERROR(VLOOKUP($B76,'Institution Evaluation'!$A$55:$F$346,4,0),IFERROR(VLOOKUP($B76,'Privacy Analyst Evaluation'!$A$46:$F$120,4,0),""))&amp;""</f>
        <v>Easily has we don’t manage any sensitive or personal data. </v>
      </c>
      <c r="F76" s="242" t="str">
        <f aca="false">IFERROR(VLOOKUP($B76,'Institution Evaluation'!$A$55:$F$346,6,0),IFERROR(VLOOKUP($B76,'Privacy Analyst Evaluation'!$A$46:$F$120,6,0),""))&amp;""</f>
        <v/>
      </c>
      <c r="G76" s="243"/>
      <c r="H76" s="242" t="str">
        <f aca="false">IFERROR(IF($H75+1&gt;'(backend scoring)'!$Q$335,"",$H75+1),"")</f>
        <v/>
      </c>
      <c r="I76" s="242" t="str">
        <f aca="false">_xlfn.XLOOKUP($H76,'(backend scoring)'!$S$2:$S$333,'(backend scoring)'!$A$2:$A$333,"")</f>
        <v/>
      </c>
      <c r="J76" s="242" t="str">
        <f aca="false">IFERROR(VLOOKUP($I76,'Institution Evaluation'!$A$55:$F$346,2,0),IFERROR(VLOOKUP($I76,'Privacy Analyst Evaluation'!$A$46:$F$120,2,0),""))</f>
        <v/>
      </c>
      <c r="K76" s="242" t="str">
        <f aca="false">IFERROR(VLOOKUP($I76,'Institution Evaluation'!$A$55:$F$346,3,0),IFERROR(VLOOKUP($I76,'Privacy Analyst Evaluation'!$A$46:$F$120,3,0),""))&amp;""</f>
        <v/>
      </c>
      <c r="L76" s="242" t="str">
        <f aca="false">IFERROR(VLOOKUP($I76,'Institution Evaluation'!$A$55:$F$346,4,0),IFERROR(VLOOKUP($I76,'Privacy Analyst Evaluation'!$A$46:$F$120,4,0),""))&amp;""</f>
        <v/>
      </c>
      <c r="M76" s="242" t="str">
        <f aca="false">IFERROR(VLOOKUP($I76,'Institution Evaluation'!$A$55:$F$346,6,0),IFERROR(VLOOKUP($I76,'Privacy Analyst Evaluation'!$A$46:$F$120,6,0),""))&amp;""</f>
        <v/>
      </c>
    </row>
    <row r="77" customFormat="false" ht="50.7" hidden="false" customHeight="false" outlineLevel="0" collapsed="false">
      <c r="A77" s="242" t="n">
        <f aca="false">IFERROR(IF($A76+1&gt;'(backend scoring)'!$T$335,"",$A76+1),"")</f>
        <v>53</v>
      </c>
      <c r="B77" s="242" t="str">
        <f aca="false">_xlfn.XLOOKUP($A77,'(backend scoring)'!$V$2:$V$333,'(backend scoring)'!$A$2:$A$333,"")</f>
        <v>PPPR-03</v>
      </c>
      <c r="C77" s="242" t="str">
        <f aca="false">IFERROR(VLOOKUP($B77,'Institution Evaluation'!$A$55:$F$346,2,0),IFERROR(VLOOKUP($B77,'Privacy Analyst Evaluation'!$A$46:$F$120,2,0),""))&amp;""</f>
        <v>Is your company subject to the institution's geographic region's laws and regulations?*</v>
      </c>
      <c r="D77" s="242" t="str">
        <f aca="false">IFERROR(VLOOKUP($B77,'Institution Evaluation'!$A$55:$F$346,3,0),IFERROR(VLOOKUP($B77,'Privacy Analyst Evaluation'!$A$46:$F$120,3,0),""))&amp;""</f>
        <v>Yes</v>
      </c>
      <c r="E77" s="242" t="str">
        <f aca="false">IFERROR(VLOOKUP($B77,'Institution Evaluation'!$A$55:$F$346,4,0),IFERROR(VLOOKUP($B77,'Privacy Analyst Evaluation'!$A$46:$F$120,4,0),""))&amp;""</f>
        <v>Swiss regulations</v>
      </c>
      <c r="F77" s="242" t="str">
        <f aca="false">IFERROR(VLOOKUP($B77,'Institution Evaluation'!$A$55:$F$346,6,0),IFERROR(VLOOKUP($B77,'Privacy Analyst Evaluation'!$A$46:$F$120,6,0),""))&amp;""</f>
        <v/>
      </c>
      <c r="G77" s="243"/>
      <c r="H77" s="242" t="str">
        <f aca="false">IFERROR(IF($H76+1&gt;'(backend scoring)'!$Q$335,"",$H76+1),"")</f>
        <v/>
      </c>
      <c r="I77" s="242" t="str">
        <f aca="false">_xlfn.XLOOKUP($H77,'(backend scoring)'!$S$2:$S$333,'(backend scoring)'!$A$2:$A$333,"")</f>
        <v/>
      </c>
      <c r="J77" s="242" t="str">
        <f aca="false">IFERROR(VLOOKUP($I77,'Institution Evaluation'!$A$55:$F$346,2,0),IFERROR(VLOOKUP($I77,'Privacy Analyst Evaluation'!$A$46:$F$120,2,0),""))</f>
        <v/>
      </c>
      <c r="K77" s="242" t="str">
        <f aca="false">IFERROR(VLOOKUP($I77,'Institution Evaluation'!$A$55:$F$346,3,0),IFERROR(VLOOKUP($I77,'Privacy Analyst Evaluation'!$A$46:$F$120,3,0),""))&amp;""</f>
        <v/>
      </c>
      <c r="L77" s="242" t="str">
        <f aca="false">IFERROR(VLOOKUP($I77,'Institution Evaluation'!$A$55:$F$346,4,0),IFERROR(VLOOKUP($I77,'Privacy Analyst Evaluation'!$A$46:$F$120,4,0),""))&amp;""</f>
        <v/>
      </c>
      <c r="M77" s="242" t="str">
        <f aca="false">IFERROR(VLOOKUP($I77,'Institution Evaluation'!$A$55:$F$346,6,0),IFERROR(VLOOKUP($I77,'Privacy Analyst Evaluation'!$A$46:$F$120,6,0),""))&amp;""</f>
        <v/>
      </c>
    </row>
    <row r="78" customFormat="false" ht="99.95" hidden="false" customHeight="false" outlineLevel="0" collapsed="false">
      <c r="A78" s="242" t="n">
        <f aca="false">IFERROR(IF($A77+1&gt;'(backend scoring)'!$T$335,"",$A77+1),"")</f>
        <v>54</v>
      </c>
      <c r="B78" s="242" t="str">
        <f aca="false">_xlfn.XLOOKUP($A78,'(backend scoring)'!$V$2:$V$333,'(backend scoring)'!$A$2:$A$333,"")</f>
        <v>VULN-01</v>
      </c>
      <c r="C78" s="242" t="str">
        <f aca="false">IFERROR(VLOOKUP($B78,'Institution Evaluation'!$A$55:$F$346,2,0),IFERROR(VLOOKUP($B78,'Privacy Analyst Evaluation'!$A$46:$F$120,2,0),""))&amp;""</f>
        <v>Are your systems and applications scanned with an authenticated user account for vulnerabilities (that are remediated) prior to new releases?*</v>
      </c>
      <c r="D78" s="242" t="str">
        <f aca="false">IFERROR(VLOOKUP($B78,'Institution Evaluation'!$A$55:$F$346,3,0),IFERROR(VLOOKUP($B78,'Privacy Analyst Evaluation'!$A$46:$F$120,3,0),""))&amp;""</f>
        <v/>
      </c>
      <c r="E78" s="242" t="str">
        <f aca="false">IFERROR(VLOOKUP($B78,'Institution Evaluation'!$A$55:$F$346,4,0),IFERROR(VLOOKUP($B78,'Privacy Analyst Evaluation'!$A$46:$F$120,4,0),""))&amp;""</f>
        <v>This question does not apply.</v>
      </c>
      <c r="F78" s="242" t="str">
        <f aca="false">IFERROR(VLOOKUP($B78,'Institution Evaluation'!$A$55:$F$346,6,0),IFERROR(VLOOKUP($B78,'Privacy Analyst Evaluation'!$A$46:$F$120,6,0),""))&amp;""</f>
        <v/>
      </c>
      <c r="G78" s="243"/>
      <c r="H78" s="242" t="str">
        <f aca="false">IFERROR(IF($H77+1&gt;'(backend scoring)'!$Q$335,"",$H77+1),"")</f>
        <v/>
      </c>
      <c r="I78" s="242" t="str">
        <f aca="false">_xlfn.XLOOKUP($H78,'(backend scoring)'!$S$2:$S$333,'(backend scoring)'!$A$2:$A$333,"")</f>
        <v/>
      </c>
      <c r="J78" s="242" t="str">
        <f aca="false">IFERROR(VLOOKUP($I78,'Institution Evaluation'!$A$55:$F$346,2,0),IFERROR(VLOOKUP($I78,'Privacy Analyst Evaluation'!$A$46:$F$120,2,0),""))</f>
        <v/>
      </c>
      <c r="K78" s="242" t="str">
        <f aca="false">IFERROR(VLOOKUP($I78,'Institution Evaluation'!$A$55:$F$346,3,0),IFERROR(VLOOKUP($I78,'Privacy Analyst Evaluation'!$A$46:$F$120,3,0),""))&amp;""</f>
        <v/>
      </c>
      <c r="L78" s="242" t="str">
        <f aca="false">IFERROR(VLOOKUP($I78,'Institution Evaluation'!$A$55:$F$346,4,0),IFERROR(VLOOKUP($I78,'Privacy Analyst Evaluation'!$A$46:$F$120,4,0),""))&amp;""</f>
        <v/>
      </c>
      <c r="M78" s="242" t="str">
        <f aca="false">IFERROR(VLOOKUP($I78,'Institution Evaluation'!$A$55:$F$346,6,0),IFERROR(VLOOKUP($I78,'Privacy Analyst Evaluation'!$A$46:$F$120,6,0),""))&amp;""</f>
        <v/>
      </c>
    </row>
    <row r="79" customFormat="false" ht="67.15" hidden="false" customHeight="false" outlineLevel="0" collapsed="false">
      <c r="A79" s="242" t="n">
        <f aca="false">IFERROR(IF($A78+1&gt;'(backend scoring)'!$T$335,"",$A78+1),"")</f>
        <v>55</v>
      </c>
      <c r="B79" s="242" t="str">
        <f aca="false">_xlfn.XLOOKUP($A79,'(backend scoring)'!$V$2:$V$333,'(backend scoring)'!$A$2:$A$333,"")</f>
        <v>VULN-02</v>
      </c>
      <c r="C79" s="242" t="str">
        <f aca="false">IFERROR(VLOOKUP($B79,'Institution Evaluation'!$A$55:$F$346,2,0),IFERROR(VLOOKUP($B79,'Privacy Analyst Evaluation'!$A$46:$F$120,2,0),""))&amp;""</f>
        <v>Will you provide results of application and system vulnerability scans to the institution?*</v>
      </c>
      <c r="D79" s="242" t="str">
        <f aca="false">IFERROR(VLOOKUP($B79,'Institution Evaluation'!$A$55:$F$346,3,0),IFERROR(VLOOKUP($B79,'Privacy Analyst Evaluation'!$A$46:$F$120,3,0),""))&amp;""</f>
        <v/>
      </c>
      <c r="E79" s="242" t="str">
        <f aca="false">IFERROR(VLOOKUP($B79,'Institution Evaluation'!$A$55:$F$346,4,0),IFERROR(VLOOKUP($B79,'Privacy Analyst Evaluation'!$A$46:$F$120,4,0),""))&amp;""</f>
        <v>This question does not apply.</v>
      </c>
      <c r="F79" s="242" t="str">
        <f aca="false">IFERROR(VLOOKUP($B79,'Institution Evaluation'!$A$55:$F$346,6,0),IFERROR(VLOOKUP($B79,'Privacy Analyst Evaluation'!$A$46:$F$120,6,0),""))&amp;""</f>
        <v/>
      </c>
      <c r="G79" s="243"/>
      <c r="H79" s="242" t="str">
        <f aca="false">IFERROR(IF($H78+1&gt;'(backend scoring)'!$Q$335,"",$H78+1),"")</f>
        <v/>
      </c>
      <c r="I79" s="242" t="str">
        <f aca="false">_xlfn.XLOOKUP($H79,'(backend scoring)'!$S$2:$S$333,'(backend scoring)'!$A$2:$A$333,"")</f>
        <v/>
      </c>
      <c r="J79" s="242" t="str">
        <f aca="false">IFERROR(VLOOKUP($I79,'Institution Evaluation'!$A$55:$F$346,2,0),IFERROR(VLOOKUP($I79,'Privacy Analyst Evaluation'!$A$46:$F$120,2,0),""))</f>
        <v/>
      </c>
      <c r="K79" s="242" t="str">
        <f aca="false">IFERROR(VLOOKUP($I79,'Institution Evaluation'!$A$55:$F$346,3,0),IFERROR(VLOOKUP($I79,'Privacy Analyst Evaluation'!$A$46:$F$120,3,0),""))&amp;""</f>
        <v/>
      </c>
      <c r="L79" s="242" t="str">
        <f aca="false">IFERROR(VLOOKUP($I79,'Institution Evaluation'!$A$55:$F$346,4,0),IFERROR(VLOOKUP($I79,'Privacy Analyst Evaluation'!$A$46:$F$120,4,0),""))&amp;""</f>
        <v/>
      </c>
      <c r="M79" s="242" t="str">
        <f aca="false">IFERROR(VLOOKUP($I79,'Institution Evaluation'!$A$55:$F$346,6,0),IFERROR(VLOOKUP($I79,'Privacy Analyst Evaluation'!$A$46:$F$120,6,0),""))&amp;""</f>
        <v/>
      </c>
    </row>
    <row r="80" customFormat="false" ht="116.4" hidden="false" customHeight="false" outlineLevel="0" collapsed="false">
      <c r="A80" s="242" t="n">
        <f aca="false">IFERROR(IF($A79+1&gt;'(backend scoring)'!$T$335,"",$A79+1),"")</f>
        <v>56</v>
      </c>
      <c r="B80" s="242" t="str">
        <f aca="false">_xlfn.XLOOKUP($A80,'(backend scoring)'!$V$2:$V$333,'(backend scoring)'!$A$2:$A$333,"")</f>
        <v>VULN-03</v>
      </c>
      <c r="C80" s="242" t="str">
        <f aca="false">IFERROR(VLOOKUP($B80,'Institution Evaluation'!$A$55:$F$346,2,0),IFERROR(VLOOKUP($B80,'Privacy Analyst Evaluation'!$A$46:$F$120,2,0),""))&amp;""</f>
        <v>Will you allow the institution to perform its own vulnerability testing and/or scanning of your systems and/or application, provided that testing is performed at a mutually agreed upon time and date?*</v>
      </c>
      <c r="D80" s="242" t="str">
        <f aca="false">IFERROR(VLOOKUP($B80,'Institution Evaluation'!$A$55:$F$346,3,0),IFERROR(VLOOKUP($B80,'Privacy Analyst Evaluation'!$A$46:$F$120,3,0),""))&amp;""</f>
        <v/>
      </c>
      <c r="E80" s="242" t="str">
        <f aca="false">IFERROR(VLOOKUP($B80,'Institution Evaluation'!$A$55:$F$346,4,0),IFERROR(VLOOKUP($B80,'Privacy Analyst Evaluation'!$A$46:$F$120,4,0),""))&amp;""</f>
        <v>This question does not apply.</v>
      </c>
      <c r="F80" s="242" t="str">
        <f aca="false">IFERROR(VLOOKUP($B80,'Institution Evaluation'!$A$55:$F$346,6,0),IFERROR(VLOOKUP($B80,'Privacy Analyst Evaluation'!$A$46:$F$120,6,0),""))&amp;""</f>
        <v/>
      </c>
      <c r="G80" s="243"/>
      <c r="H80" s="242" t="str">
        <f aca="false">IFERROR(IF($H79+1&gt;'(backend scoring)'!$Q$335,"",$H79+1),"")</f>
        <v/>
      </c>
      <c r="I80" s="242" t="str">
        <f aca="false">_xlfn.XLOOKUP($H80,'(backend scoring)'!$S$2:$S$333,'(backend scoring)'!$A$2:$A$333,"")</f>
        <v/>
      </c>
      <c r="J80" s="242" t="str">
        <f aca="false">IFERROR(VLOOKUP($I80,'Institution Evaluation'!$A$55:$F$346,2,0),IFERROR(VLOOKUP($I80,'Privacy Analyst Evaluation'!$A$46:$F$120,2,0),""))</f>
        <v/>
      </c>
      <c r="K80" s="242" t="str">
        <f aca="false">IFERROR(VLOOKUP($I80,'Institution Evaluation'!$A$55:$F$346,3,0),IFERROR(VLOOKUP($I80,'Privacy Analyst Evaluation'!$A$46:$F$120,3,0),""))&amp;""</f>
        <v/>
      </c>
      <c r="L80" s="242" t="str">
        <f aca="false">IFERROR(VLOOKUP($I80,'Institution Evaluation'!$A$55:$F$346,4,0),IFERROR(VLOOKUP($I80,'Privacy Analyst Evaluation'!$A$46:$F$120,4,0),""))&amp;""</f>
        <v/>
      </c>
      <c r="M80" s="242" t="str">
        <f aca="false">IFERROR(VLOOKUP($I80,'Institution Evaluation'!$A$55:$F$346,6,0),IFERROR(VLOOKUP($I80,'Privacy Analyst Evaluation'!$A$46:$F$120,6,0),""))&amp;""</f>
        <v/>
      </c>
    </row>
    <row r="81" customFormat="false" ht="99.95" hidden="false" customHeight="false" outlineLevel="0" collapsed="false">
      <c r="A81" s="242" t="n">
        <f aca="false">IFERROR(IF($A80+1&gt;'(backend scoring)'!$T$335,"",$A80+1),"")</f>
        <v>57</v>
      </c>
      <c r="B81" s="242" t="str">
        <f aca="false">_xlfn.XLOOKUP($A81,'(backend scoring)'!$V$2:$V$333,'(backend scoring)'!$A$2:$A$333,"")</f>
        <v>HIPA-01</v>
      </c>
      <c r="C81" s="242" t="str">
        <f aca="false">IFERROR(VLOOKUP($B81,'Institution Evaluation'!$A$55:$F$346,2,0),IFERROR(VLOOKUP($B81,'Privacy Analyst Evaluation'!$A$46:$F$120,2,0),""))&amp;""</f>
        <v>Do your workforce members receive regular training related to the Health Insurance Portability and Accountability Act (HIPAA) Privacy and Security Rules and the HITECH Act?*</v>
      </c>
      <c r="D81" s="242" t="str">
        <f aca="false">IFERROR(VLOOKUP($B81,'Institution Evaluation'!$A$55:$F$346,3,0),IFERROR(VLOOKUP($B81,'Privacy Analyst Evaluation'!$A$46:$F$120,3,0),""))&amp;""</f>
        <v/>
      </c>
      <c r="E81" s="242" t="str">
        <f aca="false">IFERROR(VLOOKUP($B81,'Institution Evaluation'!$A$55:$F$346,4,0),IFERROR(VLOOKUP($B81,'Privacy Analyst Evaluation'!$A$46:$F$120,4,0),""))&amp;""</f>
        <v>This question does not apply.</v>
      </c>
      <c r="F81" s="242" t="str">
        <f aca="false">IFERROR(VLOOKUP($B81,'Institution Evaluation'!$A$55:$F$346,6,0),IFERROR(VLOOKUP($B81,'Privacy Analyst Evaluation'!$A$46:$F$120,6,0),""))&amp;""</f>
        <v/>
      </c>
      <c r="G81" s="243"/>
      <c r="H81" s="242" t="str">
        <f aca="false">IFERROR(IF($H80+1&gt;'(backend scoring)'!$Q$335,"",$H80+1),"")</f>
        <v/>
      </c>
      <c r="I81" s="242" t="str">
        <f aca="false">_xlfn.XLOOKUP($H81,'(backend scoring)'!$S$2:$S$333,'(backend scoring)'!$A$2:$A$333,"")</f>
        <v/>
      </c>
      <c r="J81" s="242" t="str">
        <f aca="false">IFERROR(VLOOKUP($I81,'Institution Evaluation'!$A$55:$F$346,2,0),IFERROR(VLOOKUP($I81,'Privacy Analyst Evaluation'!$A$46:$F$120,2,0),""))</f>
        <v/>
      </c>
      <c r="K81" s="242" t="str">
        <f aca="false">IFERROR(VLOOKUP($I81,'Institution Evaluation'!$A$55:$F$346,3,0),IFERROR(VLOOKUP($I81,'Privacy Analyst Evaluation'!$A$46:$F$120,3,0),""))&amp;""</f>
        <v/>
      </c>
      <c r="L81" s="242" t="str">
        <f aca="false">IFERROR(VLOOKUP($I81,'Institution Evaluation'!$A$55:$F$346,4,0),IFERROR(VLOOKUP($I81,'Privacy Analyst Evaluation'!$A$46:$F$120,4,0),""))&amp;""</f>
        <v/>
      </c>
      <c r="M81" s="242" t="str">
        <f aca="false">IFERROR(VLOOKUP($I81,'Institution Evaluation'!$A$55:$F$346,6,0),IFERROR(VLOOKUP($I81,'Privacy Analyst Evaluation'!$A$46:$F$120,6,0),""))&amp;""</f>
        <v/>
      </c>
    </row>
    <row r="82" customFormat="false" ht="34.3" hidden="false" customHeight="false" outlineLevel="0" collapsed="false">
      <c r="A82" s="242" t="n">
        <f aca="false">IFERROR(IF($A81+1&gt;'(backend scoring)'!$T$335,"",$A81+1),"")</f>
        <v>58</v>
      </c>
      <c r="B82" s="242" t="str">
        <f aca="false">_xlfn.XLOOKUP($A82,'(backend scoring)'!$V$2:$V$333,'(backend scoring)'!$A$2:$A$333,"")</f>
        <v>HIPA-02</v>
      </c>
      <c r="C82" s="242" t="str">
        <f aca="false">IFERROR(VLOOKUP($B82,'Institution Evaluation'!$A$55:$F$346,2,0),IFERROR(VLOOKUP($B82,'Privacy Analyst Evaluation'!$A$46:$F$120,2,0),""))&amp;""</f>
        <v>Have you identified areas of risk?*</v>
      </c>
      <c r="D82" s="242" t="str">
        <f aca="false">IFERROR(VLOOKUP($B82,'Institution Evaluation'!$A$55:$F$346,3,0),IFERROR(VLOOKUP($B82,'Privacy Analyst Evaluation'!$A$46:$F$120,3,0),""))&amp;""</f>
        <v/>
      </c>
      <c r="E82" s="242" t="str">
        <f aca="false">IFERROR(VLOOKUP($B82,'Institution Evaluation'!$A$55:$F$346,4,0),IFERROR(VLOOKUP($B82,'Privacy Analyst Evaluation'!$A$46:$F$120,4,0),""))&amp;""</f>
        <v>This question does not apply.</v>
      </c>
      <c r="F82" s="242" t="str">
        <f aca="false">IFERROR(VLOOKUP($B82,'Institution Evaluation'!$A$55:$F$346,6,0),IFERROR(VLOOKUP($B82,'Privacy Analyst Evaluation'!$A$46:$F$120,6,0),""))&amp;""</f>
        <v/>
      </c>
      <c r="G82" s="243"/>
      <c r="H82" s="242" t="str">
        <f aca="false">IFERROR(IF($H81+1&gt;'(backend scoring)'!$Q$335,"",$H81+1),"")</f>
        <v/>
      </c>
      <c r="I82" s="242" t="str">
        <f aca="false">_xlfn.XLOOKUP($H82,'(backend scoring)'!$S$2:$S$333,'(backend scoring)'!$A$2:$A$333,"")</f>
        <v/>
      </c>
      <c r="J82" s="242" t="str">
        <f aca="false">IFERROR(VLOOKUP($I82,'Institution Evaluation'!$A$55:$F$346,2,0),IFERROR(VLOOKUP($I82,'Privacy Analyst Evaluation'!$A$46:$F$120,2,0),""))</f>
        <v/>
      </c>
      <c r="K82" s="242" t="str">
        <f aca="false">IFERROR(VLOOKUP($I82,'Institution Evaluation'!$A$55:$F$346,3,0),IFERROR(VLOOKUP($I82,'Privacy Analyst Evaluation'!$A$46:$F$120,3,0),""))&amp;""</f>
        <v/>
      </c>
      <c r="L82" s="242" t="str">
        <f aca="false">IFERROR(VLOOKUP($I82,'Institution Evaluation'!$A$55:$F$346,4,0),IFERROR(VLOOKUP($I82,'Privacy Analyst Evaluation'!$A$46:$F$120,4,0),""))&amp;""</f>
        <v/>
      </c>
      <c r="M82" s="242" t="str">
        <f aca="false">IFERROR(VLOOKUP($I82,'Institution Evaluation'!$A$55:$F$346,6,0),IFERROR(VLOOKUP($I82,'Privacy Analyst Evaluation'!$A$46:$F$120,6,0),""))&amp;""</f>
        <v/>
      </c>
    </row>
    <row r="83" customFormat="false" ht="34.3" hidden="false" customHeight="false" outlineLevel="0" collapsed="false">
      <c r="A83" s="242" t="n">
        <f aca="false">IFERROR(IF($A82+1&gt;'(backend scoring)'!$T$335,"",$A82+1),"")</f>
        <v>59</v>
      </c>
      <c r="B83" s="242" t="str">
        <f aca="false">_xlfn.XLOOKUP($A83,'(backend scoring)'!$V$2:$V$333,'(backend scoring)'!$A$2:$A$333,"")</f>
        <v>HIPA-03</v>
      </c>
      <c r="C83" s="242" t="str">
        <f aca="false">IFERROR(VLOOKUP($B83,'Institution Evaluation'!$A$55:$F$346,2,0),IFERROR(VLOOKUP($B83,'Privacy Analyst Evaluation'!$A$46:$F$120,2,0),""))&amp;""</f>
        <v>Have the relevant policies/plans been tested?*</v>
      </c>
      <c r="D83" s="242" t="str">
        <f aca="false">IFERROR(VLOOKUP($B83,'Institution Evaluation'!$A$55:$F$346,3,0),IFERROR(VLOOKUP($B83,'Privacy Analyst Evaluation'!$A$46:$F$120,3,0),""))&amp;""</f>
        <v/>
      </c>
      <c r="E83" s="242" t="str">
        <f aca="false">IFERROR(VLOOKUP($B83,'Institution Evaluation'!$A$55:$F$346,4,0),IFERROR(VLOOKUP($B83,'Privacy Analyst Evaluation'!$A$46:$F$120,4,0),""))&amp;""</f>
        <v>This question does not apply.</v>
      </c>
      <c r="F83" s="242" t="str">
        <f aca="false">IFERROR(VLOOKUP($B83,'Institution Evaluation'!$A$55:$F$346,6,0),IFERROR(VLOOKUP($B83,'Privacy Analyst Evaluation'!$A$46:$F$120,6,0),""))&amp;""</f>
        <v/>
      </c>
      <c r="G83" s="243"/>
      <c r="H83" s="242" t="str">
        <f aca="false">IFERROR(IF($H82+1&gt;'(backend scoring)'!$Q$335,"",$H82+1),"")</f>
        <v/>
      </c>
      <c r="I83" s="242" t="str">
        <f aca="false">_xlfn.XLOOKUP($H83,'(backend scoring)'!$S$2:$S$333,'(backend scoring)'!$A$2:$A$333,"")</f>
        <v/>
      </c>
      <c r="J83" s="242" t="str">
        <f aca="false">IFERROR(VLOOKUP($I83,'Institution Evaluation'!$A$55:$F$346,2,0),IFERROR(VLOOKUP($I83,'Privacy Analyst Evaluation'!$A$46:$F$120,2,0),""))</f>
        <v/>
      </c>
      <c r="K83" s="242" t="str">
        <f aca="false">IFERROR(VLOOKUP($I83,'Institution Evaluation'!$A$55:$F$346,3,0),IFERROR(VLOOKUP($I83,'Privacy Analyst Evaluation'!$A$46:$F$120,3,0),""))&amp;""</f>
        <v/>
      </c>
      <c r="L83" s="242" t="str">
        <f aca="false">IFERROR(VLOOKUP($I83,'Institution Evaluation'!$A$55:$F$346,4,0),IFERROR(VLOOKUP($I83,'Privacy Analyst Evaluation'!$A$46:$F$120,4,0),""))&amp;""</f>
        <v/>
      </c>
      <c r="M83" s="242" t="str">
        <f aca="false">IFERROR(VLOOKUP($I83,'Institution Evaluation'!$A$55:$F$346,6,0),IFERROR(VLOOKUP($I83,'Privacy Analyst Evaluation'!$A$46:$F$120,6,0),""))&amp;""</f>
        <v/>
      </c>
    </row>
    <row r="84" customFormat="false" ht="83.55" hidden="false" customHeight="false" outlineLevel="0" collapsed="false">
      <c r="A84" s="242" t="n">
        <f aca="false">IFERROR(IF($A83+1&gt;'(backend scoring)'!$T$335,"",$A83+1),"")</f>
        <v>60</v>
      </c>
      <c r="B84" s="242" t="str">
        <f aca="false">_xlfn.XLOOKUP($A84,'(backend scoring)'!$V$2:$V$333,'(backend scoring)'!$A$2:$A$333,"")</f>
        <v>HIPA-04</v>
      </c>
      <c r="C84" s="242" t="str">
        <f aca="false">IFERROR(VLOOKUP($B84,'Institution Evaluation'!$A$55:$F$346,2,0),IFERROR(VLOOKUP($B84,'Privacy Analyst Evaluation'!$A$46:$F$120,2,0),""))&amp;""</f>
        <v>Have you entered into a Business Associate Agreements with all subcontractors who may have access to protected health information (PHI)?*</v>
      </c>
      <c r="D84" s="242" t="str">
        <f aca="false">IFERROR(VLOOKUP($B84,'Institution Evaluation'!$A$55:$F$346,3,0),IFERROR(VLOOKUP($B84,'Privacy Analyst Evaluation'!$A$46:$F$120,3,0),""))&amp;""</f>
        <v/>
      </c>
      <c r="E84" s="242" t="str">
        <f aca="false">IFERROR(VLOOKUP($B84,'Institution Evaluation'!$A$55:$F$346,4,0),IFERROR(VLOOKUP($B84,'Privacy Analyst Evaluation'!$A$46:$F$120,4,0),""))&amp;""</f>
        <v>This question does not apply.</v>
      </c>
      <c r="F84" s="242" t="str">
        <f aca="false">IFERROR(VLOOKUP($B84,'Institution Evaluation'!$A$55:$F$346,6,0),IFERROR(VLOOKUP($B84,'Privacy Analyst Evaluation'!$A$46:$F$120,6,0),""))&amp;""</f>
        <v/>
      </c>
      <c r="G84" s="243"/>
      <c r="H84" s="242" t="str">
        <f aca="false">IFERROR(IF($H83+1&gt;'(backend scoring)'!$Q$335,"",$H83+1),"")</f>
        <v/>
      </c>
      <c r="I84" s="242" t="str">
        <f aca="false">_xlfn.XLOOKUP($H84,'(backend scoring)'!$S$2:$S$333,'(backend scoring)'!$A$2:$A$333,"")</f>
        <v/>
      </c>
      <c r="J84" s="242" t="str">
        <f aca="false">IFERROR(VLOOKUP($I84,'Institution Evaluation'!$A$55:$F$346,2,0),IFERROR(VLOOKUP($I84,'Privacy Analyst Evaluation'!$A$46:$F$120,2,0),""))</f>
        <v/>
      </c>
      <c r="K84" s="242" t="str">
        <f aca="false">IFERROR(VLOOKUP($I84,'Institution Evaluation'!$A$55:$F$346,3,0),IFERROR(VLOOKUP($I84,'Privacy Analyst Evaluation'!$A$46:$F$120,3,0),""))&amp;""</f>
        <v/>
      </c>
      <c r="L84" s="242" t="str">
        <f aca="false">IFERROR(VLOOKUP($I84,'Institution Evaluation'!$A$55:$F$346,4,0),IFERROR(VLOOKUP($I84,'Privacy Analyst Evaluation'!$A$46:$F$120,4,0),""))&amp;""</f>
        <v/>
      </c>
      <c r="M84" s="242" t="str">
        <f aca="false">IFERROR(VLOOKUP($I84,'Institution Evaluation'!$A$55:$F$346,6,0),IFERROR(VLOOKUP($I84,'Privacy Analyst Evaluation'!$A$46:$F$120,6,0),""))&amp;""</f>
        <v/>
      </c>
    </row>
    <row r="85" customFormat="false" ht="83.55" hidden="false" customHeight="false" outlineLevel="0" collapsed="false">
      <c r="A85" s="242" t="n">
        <f aca="false">IFERROR(IF($A84+1&gt;'(backend scoring)'!$T$335,"",$A84+1),"")</f>
        <v>61</v>
      </c>
      <c r="B85" s="242" t="str">
        <f aca="false">_xlfn.XLOOKUP($A85,'(backend scoring)'!$V$2:$V$333,'(backend scoring)'!$A$2:$A$333,"")</f>
        <v>PCID-01</v>
      </c>
      <c r="C85" s="242" t="str">
        <f aca="false">IFERROR(VLOOKUP($B85,'Institution Evaluation'!$A$55:$F$346,2,0),IFERROR(VLOOKUP($B85,'Privacy Analyst Evaluation'!$A$46:$F$120,2,0),""))&amp;""</f>
        <v>Do you have a current, executed within the past year, Attestation of Compliance (AoC) or Report on Compliance (RoC)?*</v>
      </c>
      <c r="D85" s="242" t="str">
        <f aca="false">IFERROR(VLOOKUP($B85,'Institution Evaluation'!$A$55:$F$346,3,0),IFERROR(VLOOKUP($B85,'Privacy Analyst Evaluation'!$A$46:$F$120,3,0),""))&amp;""</f>
        <v/>
      </c>
      <c r="E85" s="242" t="str">
        <f aca="false">IFERROR(VLOOKUP($B85,'Institution Evaluation'!$A$55:$F$346,4,0),IFERROR(VLOOKUP($B85,'Privacy Analyst Evaluation'!$A$46:$F$120,4,0),""))&amp;""</f>
        <v>This question does not apply.</v>
      </c>
      <c r="F85" s="242" t="str">
        <f aca="false">IFERROR(VLOOKUP($B85,'Institution Evaluation'!$A$55:$F$346,6,0),IFERROR(VLOOKUP($B85,'Privacy Analyst Evaluation'!$A$46:$F$120,6,0),""))&amp;""</f>
        <v/>
      </c>
      <c r="G85" s="243"/>
      <c r="H85" s="242" t="str">
        <f aca="false">IFERROR(IF($H84+1&gt;'(backend scoring)'!$Q$335,"",$H84+1),"")</f>
        <v/>
      </c>
      <c r="I85" s="242" t="str">
        <f aca="false">_xlfn.XLOOKUP($H85,'(backend scoring)'!$S$2:$S$333,'(backend scoring)'!$A$2:$A$333,"")</f>
        <v/>
      </c>
      <c r="J85" s="242" t="str">
        <f aca="false">IFERROR(VLOOKUP($I85,'Institution Evaluation'!$A$55:$F$346,2,0),IFERROR(VLOOKUP($I85,'Privacy Analyst Evaluation'!$A$46:$F$120,2,0),""))</f>
        <v/>
      </c>
      <c r="K85" s="242" t="str">
        <f aca="false">IFERROR(VLOOKUP($I85,'Institution Evaluation'!$A$55:$F$346,3,0),IFERROR(VLOOKUP($I85,'Privacy Analyst Evaluation'!$A$46:$F$120,3,0),""))&amp;""</f>
        <v/>
      </c>
      <c r="L85" s="242" t="str">
        <f aca="false">IFERROR(VLOOKUP($I85,'Institution Evaluation'!$A$55:$F$346,4,0),IFERROR(VLOOKUP($I85,'Privacy Analyst Evaluation'!$A$46:$F$120,4,0),""))&amp;""</f>
        <v/>
      </c>
      <c r="M85" s="242" t="str">
        <f aca="false">IFERROR(VLOOKUP($I85,'Institution Evaluation'!$A$55:$F$346,6,0),IFERROR(VLOOKUP($I85,'Privacy Analyst Evaluation'!$A$46:$F$120,6,0),""))&amp;""</f>
        <v/>
      </c>
    </row>
    <row r="86" customFormat="false" ht="67.15" hidden="false" customHeight="false" outlineLevel="0" collapsed="false">
      <c r="A86" s="242" t="n">
        <f aca="false">IFERROR(IF($A85+1&gt;'(backend scoring)'!$T$335,"",$A85+1),"")</f>
        <v>62</v>
      </c>
      <c r="B86" s="242" t="str">
        <f aca="false">_xlfn.XLOOKUP($A86,'(backend scoring)'!$V$2:$V$333,'(backend scoring)'!$A$2:$A$333,"")</f>
        <v>PCID-02</v>
      </c>
      <c r="C86" s="242" t="str">
        <f aca="false">IFERROR(VLOOKUP($B86,'Institution Evaluation'!$A$55:$F$346,2,0),IFERROR(VLOOKUP($B86,'Privacy Analyst Evaluation'!$A$46:$F$120,2,0),""))&amp;""</f>
        <v>Is the application listed as an approved Payment Application Data Security Standard (PA-DSS) application?*</v>
      </c>
      <c r="D86" s="242" t="str">
        <f aca="false">IFERROR(VLOOKUP($B86,'Institution Evaluation'!$A$55:$F$346,3,0),IFERROR(VLOOKUP($B86,'Privacy Analyst Evaluation'!$A$46:$F$120,3,0),""))&amp;""</f>
        <v/>
      </c>
      <c r="E86" s="242" t="str">
        <f aca="false">IFERROR(VLOOKUP($B86,'Institution Evaluation'!$A$55:$F$346,4,0),IFERROR(VLOOKUP($B86,'Privacy Analyst Evaluation'!$A$46:$F$120,4,0),""))&amp;""</f>
        <v>This question does not apply.</v>
      </c>
      <c r="F86" s="242" t="str">
        <f aca="false">IFERROR(VLOOKUP($B86,'Institution Evaluation'!$A$55:$F$346,6,0),IFERROR(VLOOKUP($B86,'Privacy Analyst Evaluation'!$A$46:$F$120,6,0),""))&amp;""</f>
        <v/>
      </c>
      <c r="G86" s="243"/>
      <c r="H86" s="242" t="str">
        <f aca="false">IFERROR(IF($H85+1&gt;'(backend scoring)'!$Q$335,"",$H85+1),"")</f>
        <v/>
      </c>
      <c r="I86" s="242" t="str">
        <f aca="false">_xlfn.XLOOKUP($H86,'(backend scoring)'!$S$2:$S$333,'(backend scoring)'!$A$2:$A$333,"")</f>
        <v/>
      </c>
      <c r="J86" s="242" t="str">
        <f aca="false">IFERROR(VLOOKUP($I86,'Institution Evaluation'!$A$55:$F$346,2,0),IFERROR(VLOOKUP($I86,'Privacy Analyst Evaluation'!$A$46:$F$120,2,0),""))</f>
        <v/>
      </c>
      <c r="K86" s="242" t="str">
        <f aca="false">IFERROR(VLOOKUP($I86,'Institution Evaluation'!$A$55:$F$346,3,0),IFERROR(VLOOKUP($I86,'Privacy Analyst Evaluation'!$A$46:$F$120,3,0),""))&amp;""</f>
        <v/>
      </c>
      <c r="L86" s="242" t="str">
        <f aca="false">IFERROR(VLOOKUP($I86,'Institution Evaluation'!$A$55:$F$346,4,0),IFERROR(VLOOKUP($I86,'Privacy Analyst Evaluation'!$A$46:$F$120,4,0),""))&amp;""</f>
        <v/>
      </c>
      <c r="M86" s="242" t="str">
        <f aca="false">IFERROR(VLOOKUP($I86,'Institution Evaluation'!$A$55:$F$346,6,0),IFERROR(VLOOKUP($I86,'Privacy Analyst Evaluation'!$A$46:$F$120,6,0),""))&amp;""</f>
        <v/>
      </c>
    </row>
    <row r="87" customFormat="false" ht="99.95" hidden="false" customHeight="false" outlineLevel="0" collapsed="false">
      <c r="A87" s="242" t="n">
        <f aca="false">IFERROR(IF($A86+1&gt;'(backend scoring)'!$T$335,"",$A86+1),"")</f>
        <v>63</v>
      </c>
      <c r="B87" s="242" t="str">
        <f aca="false">_xlfn.XLOOKUP($A87,'(backend scoring)'!$V$2:$V$333,'(backend scoring)'!$A$2:$A$333,"")</f>
        <v>PCID-03</v>
      </c>
      <c r="C87" s="242" t="str">
        <f aca="false">IFERROR(VLOOKUP($B87,'Institution Evaluation'!$A$55:$F$346,2,0),IFERROR(VLOOKUP($B87,'Privacy Analyst Evaluation'!$A$46:$F$120,2,0),""))&amp;""</f>
        <v>Does the system or solutions use a third party to collect, store, process, or transmit cardholder (payment/credit/debt card) data?*</v>
      </c>
      <c r="D87" s="242" t="str">
        <f aca="false">IFERROR(VLOOKUP($B87,'Institution Evaluation'!$A$55:$F$346,3,0),IFERROR(VLOOKUP($B87,'Privacy Analyst Evaluation'!$A$46:$F$120,3,0),""))&amp;""</f>
        <v/>
      </c>
      <c r="E87" s="242" t="str">
        <f aca="false">IFERROR(VLOOKUP($B87,'Institution Evaluation'!$A$55:$F$346,4,0),IFERROR(VLOOKUP($B87,'Privacy Analyst Evaluation'!$A$46:$F$120,4,0),""))&amp;""</f>
        <v>This question does not apply.</v>
      </c>
      <c r="F87" s="242" t="str">
        <f aca="false">IFERROR(VLOOKUP($B87,'Institution Evaluation'!$A$55:$F$346,6,0),IFERROR(VLOOKUP($B87,'Privacy Analyst Evaluation'!$A$46:$F$120,6,0),""))&amp;""</f>
        <v/>
      </c>
      <c r="G87" s="243"/>
      <c r="H87" s="242" t="str">
        <f aca="false">IFERROR(IF($H86+1&gt;'(backend scoring)'!$Q$335,"",$H86+1),"")</f>
        <v/>
      </c>
      <c r="I87" s="242" t="str">
        <f aca="false">_xlfn.XLOOKUP($H87,'(backend scoring)'!$S$2:$S$333,'(backend scoring)'!$A$2:$A$333,"")</f>
        <v/>
      </c>
      <c r="J87" s="242" t="str">
        <f aca="false">IFERROR(VLOOKUP($I87,'Institution Evaluation'!$A$55:$F$346,2,0),IFERROR(VLOOKUP($I87,'Privacy Analyst Evaluation'!$A$46:$F$120,2,0),""))</f>
        <v/>
      </c>
      <c r="K87" s="242" t="str">
        <f aca="false">IFERROR(VLOOKUP($I87,'Institution Evaluation'!$A$55:$F$346,3,0),IFERROR(VLOOKUP($I87,'Privacy Analyst Evaluation'!$A$46:$F$120,3,0),""))&amp;""</f>
        <v/>
      </c>
      <c r="L87" s="242" t="str">
        <f aca="false">IFERROR(VLOOKUP($I87,'Institution Evaluation'!$A$55:$F$346,4,0),IFERROR(VLOOKUP($I87,'Privacy Analyst Evaluation'!$A$46:$F$120,4,0),""))&amp;""</f>
        <v/>
      </c>
      <c r="M87" s="242" t="str">
        <f aca="false">IFERROR(VLOOKUP($I87,'Institution Evaluation'!$A$55:$F$346,6,0),IFERROR(VLOOKUP($I87,'Privacy Analyst Evaluation'!$A$46:$F$120,6,0),""))&amp;""</f>
        <v/>
      </c>
    </row>
    <row r="88" customFormat="false" ht="116.4" hidden="false" customHeight="false" outlineLevel="0" collapsed="false">
      <c r="A88" s="242" t="n">
        <f aca="false">IFERROR(IF($A87+1&gt;'(backend scoring)'!$T$335,"",$A87+1),"")</f>
        <v>64</v>
      </c>
      <c r="B88" s="242" t="str">
        <f aca="false">_xlfn.XLOOKUP($A88,'(backend scoring)'!$V$2:$V$333,'(backend scoring)'!$A$2:$A$333,"")</f>
        <v>PCOM-01</v>
      </c>
      <c r="C88" s="242" t="str">
        <f aca="false">IFERROR(VLOOKUP($B88,'Institution Evaluation'!$A$55:$F$346,2,0),IFERROR(VLOOKUP($B88,'Privacy Analyst Evaluation'!$A$46:$F$120,2,0),""))&amp;""</f>
        <v>Have you had a personal data breach in the past three years that involved reporting to a governmental agency, notice to individuals (including voluntary notice), or notice to another organization or institution?*</v>
      </c>
      <c r="D88" s="242" t="str">
        <f aca="false">IFERROR(VLOOKUP($B88,'Institution Evaluation'!$A$55:$F$346,3,0),IFERROR(VLOOKUP($B88,'Privacy Analyst Evaluation'!$A$46:$F$120,3,0),""))&amp;""</f>
        <v>no</v>
      </c>
      <c r="E88" s="242" t="str">
        <f aca="false">IFERROR(VLOOKUP($B88,'Institution Evaluation'!$A$55:$F$346,4,0),IFERROR(VLOOKUP($B88,'Privacy Analyst Evaluation'!$A$46:$F$120,4,0),""))&amp;""</f>
        <v/>
      </c>
      <c r="F88" s="242" t="str">
        <f aca="false">IFERROR(VLOOKUP($B88,'Institution Evaluation'!$A$55:$F$346,6,0),IFERROR(VLOOKUP($B88,'Privacy Analyst Evaluation'!$A$46:$F$120,6,0),""))&amp;""</f>
        <v/>
      </c>
      <c r="G88" s="243"/>
      <c r="H88" s="242" t="str">
        <f aca="false">IFERROR(IF($H87+1&gt;'(backend scoring)'!$Q$335,"",$H87+1),"")</f>
        <v/>
      </c>
      <c r="I88" s="242" t="str">
        <f aca="false">_xlfn.XLOOKUP($H88,'(backend scoring)'!$S$2:$S$333,'(backend scoring)'!$A$2:$A$333,"")</f>
        <v/>
      </c>
      <c r="J88" s="242" t="str">
        <f aca="false">IFERROR(VLOOKUP($I88,'Institution Evaluation'!$A$55:$F$346,2,0),IFERROR(VLOOKUP($I88,'Privacy Analyst Evaluation'!$A$46:$F$120,2,0),""))</f>
        <v/>
      </c>
      <c r="K88" s="242" t="str">
        <f aca="false">IFERROR(VLOOKUP($I88,'Institution Evaluation'!$A$55:$F$346,3,0),IFERROR(VLOOKUP($I88,'Privacy Analyst Evaluation'!$A$46:$F$120,3,0),""))&amp;""</f>
        <v/>
      </c>
      <c r="L88" s="242" t="str">
        <f aca="false">IFERROR(VLOOKUP($I88,'Institution Evaluation'!$A$55:$F$346,4,0),IFERROR(VLOOKUP($I88,'Privacy Analyst Evaluation'!$A$46:$F$120,4,0),""))&amp;""</f>
        <v/>
      </c>
      <c r="M88" s="242" t="str">
        <f aca="false">IFERROR(VLOOKUP($I88,'Institution Evaluation'!$A$55:$F$346,6,0),IFERROR(VLOOKUP($I88,'Privacy Analyst Evaluation'!$A$46:$F$120,6,0),""))&amp;""</f>
        <v/>
      </c>
    </row>
    <row r="89" customFormat="false" ht="83.55" hidden="false" customHeight="false" outlineLevel="0" collapsed="false">
      <c r="A89" s="242" t="n">
        <f aca="false">IFERROR(IF($A88+1&gt;'(backend scoring)'!$T$335,"",$A88+1),"")</f>
        <v>65</v>
      </c>
      <c r="B89" s="242" t="str">
        <f aca="false">_xlfn.XLOOKUP($A89,'(backend scoring)'!$V$2:$V$333,'(backend scoring)'!$A$2:$A$333,"")</f>
        <v>PTHP-01</v>
      </c>
      <c r="C89" s="242" t="str">
        <f aca="false">IFERROR(VLOOKUP($B89,'Institution Evaluation'!$A$55:$F$346,2,0),IFERROR(VLOOKUP($B89,'Privacy Analyst Evaluation'!$A$46:$F$120,2,0),""))&amp;""</f>
        <v>Do you have contractual agreements with third parties that require them to maintain standards and to comply with all regulatory requirements?*</v>
      </c>
      <c r="D89" s="242" t="str">
        <f aca="false">IFERROR(VLOOKUP($B89,'Institution Evaluation'!$A$55:$F$346,3,0),IFERROR(VLOOKUP($B89,'Privacy Analyst Evaluation'!$A$46:$F$120,3,0),""))&amp;""</f>
        <v>no</v>
      </c>
      <c r="E89" s="242" t="str">
        <f aca="false">IFERROR(VLOOKUP($B89,'Institution Evaluation'!$A$55:$F$346,4,0),IFERROR(VLOOKUP($B89,'Privacy Analyst Evaluation'!$A$46:$F$120,4,0),""))&amp;""</f>
        <v>NA</v>
      </c>
      <c r="F89" s="242" t="str">
        <f aca="false">IFERROR(VLOOKUP($B89,'Institution Evaluation'!$A$55:$F$346,6,0),IFERROR(VLOOKUP($B89,'Privacy Analyst Evaluation'!$A$46:$F$120,6,0),""))&amp;""</f>
        <v/>
      </c>
      <c r="G89" s="243"/>
      <c r="H89" s="242" t="str">
        <f aca="false">IFERROR(IF($H88+1&gt;'(backend scoring)'!$Q$335,"",$H88+1),"")</f>
        <v/>
      </c>
      <c r="I89" s="242" t="str">
        <f aca="false">_xlfn.XLOOKUP($H89,'(backend scoring)'!$S$2:$S$333,'(backend scoring)'!$A$2:$A$333,"")</f>
        <v/>
      </c>
      <c r="J89" s="242" t="str">
        <f aca="false">IFERROR(VLOOKUP($I89,'Institution Evaluation'!$A$55:$F$346,2,0),IFERROR(VLOOKUP($I89,'Privacy Analyst Evaluation'!$A$46:$F$120,2,0),""))</f>
        <v/>
      </c>
      <c r="K89" s="242" t="str">
        <f aca="false">IFERROR(VLOOKUP($I89,'Institution Evaluation'!$A$55:$F$346,3,0),IFERROR(VLOOKUP($I89,'Privacy Analyst Evaluation'!$A$46:$F$120,3,0),""))&amp;""</f>
        <v/>
      </c>
      <c r="L89" s="242" t="str">
        <f aca="false">IFERROR(VLOOKUP($I89,'Institution Evaluation'!$A$55:$F$346,4,0),IFERROR(VLOOKUP($I89,'Privacy Analyst Evaluation'!$A$46:$F$120,4,0),""))&amp;""</f>
        <v/>
      </c>
      <c r="M89" s="242" t="str">
        <f aca="false">IFERROR(VLOOKUP($I89,'Institution Evaluation'!$A$55:$F$346,6,0),IFERROR(VLOOKUP($I89,'Privacy Analyst Evaluation'!$A$46:$F$120,6,0),""))&amp;""</f>
        <v/>
      </c>
    </row>
    <row r="90" customFormat="false" ht="34.3" hidden="false" customHeight="false" outlineLevel="0" collapsed="false">
      <c r="A90" s="242" t="n">
        <f aca="false">IFERROR(IF($A89+1&gt;'(backend scoring)'!$T$335,"",$A89+1),"")</f>
        <v>66</v>
      </c>
      <c r="B90" s="242" t="str">
        <f aca="false">_xlfn.XLOOKUP($A90,'(backend scoring)'!$V$2:$V$333,'(backend scoring)'!$A$2:$A$333,"")</f>
        <v>PDAT-01</v>
      </c>
      <c r="C90" s="242" t="str">
        <f aca="false">IFERROR(VLOOKUP($B90,'Institution Evaluation'!$A$55:$F$346,2,0),IFERROR(VLOOKUP($B90,'Privacy Analyst Evaluation'!$A$46:$F$120,2,0),""))&amp;""</f>
        <v>Do you collect, process, or store demographic information?*</v>
      </c>
      <c r="D90" s="242" t="str">
        <f aca="false">IFERROR(VLOOKUP($B90,'Institution Evaluation'!$A$55:$F$346,3,0),IFERROR(VLOOKUP($B90,'Privacy Analyst Evaluation'!$A$46:$F$120,3,0),""))&amp;""</f>
        <v>No</v>
      </c>
      <c r="E90" s="242" t="str">
        <f aca="false">IFERROR(VLOOKUP($B90,'Institution Evaluation'!$A$55:$F$346,4,0),IFERROR(VLOOKUP($B90,'Privacy Analyst Evaluation'!$A$46:$F$120,4,0),""))&amp;""</f>
        <v/>
      </c>
      <c r="F90" s="242" t="str">
        <f aca="false">IFERROR(VLOOKUP($B90,'Institution Evaluation'!$A$55:$F$346,6,0),IFERROR(VLOOKUP($B90,'Privacy Analyst Evaluation'!$A$46:$F$120,6,0),""))&amp;""</f>
        <v/>
      </c>
      <c r="G90" s="243"/>
      <c r="H90" s="242" t="str">
        <f aca="false">IFERROR(IF($H89+1&gt;'(backend scoring)'!$Q$335,"",$H89+1),"")</f>
        <v/>
      </c>
      <c r="I90" s="242" t="str">
        <f aca="false">_xlfn.XLOOKUP($H90,'(backend scoring)'!$S$2:$S$333,'(backend scoring)'!$A$2:$A$333,"")</f>
        <v/>
      </c>
      <c r="J90" s="242" t="str">
        <f aca="false">IFERROR(VLOOKUP($I90,'Institution Evaluation'!$A$55:$F$346,2,0),IFERROR(VLOOKUP($I90,'Privacy Analyst Evaluation'!$A$46:$F$120,2,0),""))</f>
        <v/>
      </c>
      <c r="K90" s="242" t="str">
        <f aca="false">IFERROR(VLOOKUP($I90,'Institution Evaluation'!$A$55:$F$346,3,0),IFERROR(VLOOKUP($I90,'Privacy Analyst Evaluation'!$A$46:$F$120,3,0),""))&amp;""</f>
        <v/>
      </c>
      <c r="L90" s="242" t="str">
        <f aca="false">IFERROR(VLOOKUP($I90,'Institution Evaluation'!$A$55:$F$346,4,0),IFERROR(VLOOKUP($I90,'Privacy Analyst Evaluation'!$A$46:$F$120,4,0),""))&amp;""</f>
        <v/>
      </c>
      <c r="M90" s="242" t="str">
        <f aca="false">IFERROR(VLOOKUP($I90,'Institution Evaluation'!$A$55:$F$346,6,0),IFERROR(VLOOKUP($I90,'Privacy Analyst Evaluation'!$A$46:$F$120,6,0),""))&amp;""</f>
        <v/>
      </c>
    </row>
    <row r="91" customFormat="false" ht="83.55" hidden="false" customHeight="false" outlineLevel="0" collapsed="false">
      <c r="A91" s="242" t="n">
        <f aca="false">IFERROR(IF($A90+1&gt;'(backend scoring)'!$T$335,"",$A90+1),"")</f>
        <v>67</v>
      </c>
      <c r="B91" s="242" t="str">
        <f aca="false">_xlfn.XLOOKUP($A91,'(backend scoring)'!$V$2:$V$333,'(backend scoring)'!$A$2:$A$333,"")</f>
        <v>PDAT-02</v>
      </c>
      <c r="C91" s="242" t="str">
        <f aca="false">IFERROR(VLOOKUP($B91,'Institution Evaluation'!$A$55:$F$346,2,0),IFERROR(VLOOKUP($B91,'Privacy Analyst Evaluation'!$A$46:$F$120,2,0),""))&amp;""</f>
        <v>Do you capture or create genetic, biometric, or behaviometric information (e.g., facial recognition or fingerprints)?*</v>
      </c>
      <c r="D91" s="242" t="str">
        <f aca="false">IFERROR(VLOOKUP($B91,'Institution Evaluation'!$A$55:$F$346,3,0),IFERROR(VLOOKUP($B91,'Privacy Analyst Evaluation'!$A$46:$F$120,3,0),""))&amp;""</f>
        <v>no</v>
      </c>
      <c r="E91" s="242" t="str">
        <f aca="false">IFERROR(VLOOKUP($B91,'Institution Evaluation'!$A$55:$F$346,4,0),IFERROR(VLOOKUP($B91,'Privacy Analyst Evaluation'!$A$46:$F$120,4,0),""))&amp;""</f>
        <v/>
      </c>
      <c r="F91" s="242" t="str">
        <f aca="false">IFERROR(VLOOKUP($B91,'Institution Evaluation'!$A$55:$F$346,6,0),IFERROR(VLOOKUP($B91,'Privacy Analyst Evaluation'!$A$46:$F$120,6,0),""))&amp;""</f>
        <v/>
      </c>
      <c r="G91" s="243"/>
      <c r="H91" s="242" t="str">
        <f aca="false">IFERROR(IF($H90+1&gt;'(backend scoring)'!$Q$335,"",$H90+1),"")</f>
        <v/>
      </c>
      <c r="I91" s="242" t="str">
        <f aca="false">_xlfn.XLOOKUP($H91,'(backend scoring)'!$S$2:$S$333,'(backend scoring)'!$A$2:$A$333,"")</f>
        <v/>
      </c>
      <c r="J91" s="242" t="str">
        <f aca="false">IFERROR(VLOOKUP($I91,'Institution Evaluation'!$A$55:$F$346,2,0),IFERROR(VLOOKUP($I91,'Privacy Analyst Evaluation'!$A$46:$F$120,2,0),""))</f>
        <v/>
      </c>
      <c r="K91" s="242" t="str">
        <f aca="false">IFERROR(VLOOKUP($I91,'Institution Evaluation'!$A$55:$F$346,3,0),IFERROR(VLOOKUP($I91,'Privacy Analyst Evaluation'!$A$46:$F$120,3,0),""))&amp;""</f>
        <v/>
      </c>
      <c r="L91" s="242" t="str">
        <f aca="false">IFERROR(VLOOKUP($I91,'Institution Evaluation'!$A$55:$F$346,4,0),IFERROR(VLOOKUP($I91,'Privacy Analyst Evaluation'!$A$46:$F$120,4,0),""))&amp;""</f>
        <v/>
      </c>
      <c r="M91" s="242" t="str">
        <f aca="false">IFERROR(VLOOKUP($I91,'Institution Evaluation'!$A$55:$F$346,6,0),IFERROR(VLOOKUP($I91,'Privacy Analyst Evaluation'!$A$46:$F$120,6,0),""))&amp;""</f>
        <v/>
      </c>
    </row>
    <row r="92" customFormat="false" ht="83.55" hidden="false" customHeight="false" outlineLevel="0" collapsed="false">
      <c r="A92" s="242" t="n">
        <f aca="false">IFERROR(IF($A91+1&gt;'(backend scoring)'!$T$335,"",$A91+1),"")</f>
        <v>68</v>
      </c>
      <c r="B92" s="242" t="str">
        <f aca="false">_xlfn.XLOOKUP($A92,'(backend scoring)'!$V$2:$V$333,'(backend scoring)'!$A$2:$A$333,"")</f>
        <v>PDAT-03</v>
      </c>
      <c r="C92" s="242" t="str">
        <f aca="false">IFERROR(VLOOKUP($B92,'Institution Evaluation'!$A$55:$F$346,2,0),IFERROR(VLOOKUP($B92,'Privacy Analyst Evaluation'!$A$46:$F$120,2,0),""))&amp;""</f>
        <v>Do you combine institutional data (including "de-identified," "anonymized," or otherwise masked data) with personal data from any other sources?*</v>
      </c>
      <c r="D92" s="242" t="str">
        <f aca="false">IFERROR(VLOOKUP($B92,'Institution Evaluation'!$A$55:$F$346,3,0),IFERROR(VLOOKUP($B92,'Privacy Analyst Evaluation'!$A$46:$F$120,3,0),""))&amp;""</f>
        <v>no</v>
      </c>
      <c r="E92" s="242" t="str">
        <f aca="false">IFERROR(VLOOKUP($B92,'Institution Evaluation'!$A$55:$F$346,4,0),IFERROR(VLOOKUP($B92,'Privacy Analyst Evaluation'!$A$46:$F$120,4,0),""))&amp;""</f>
        <v/>
      </c>
      <c r="F92" s="242" t="str">
        <f aca="false">IFERROR(VLOOKUP($B92,'Institution Evaluation'!$A$55:$F$346,6,0),IFERROR(VLOOKUP($B92,'Privacy Analyst Evaluation'!$A$46:$F$120,6,0),""))&amp;""</f>
        <v/>
      </c>
      <c r="G92" s="243"/>
      <c r="H92" s="242" t="str">
        <f aca="false">IFERROR(IF($H91+1&gt;'(backend scoring)'!$Q$335,"",$H91+1),"")</f>
        <v/>
      </c>
      <c r="I92" s="242" t="str">
        <f aca="false">_xlfn.XLOOKUP($H92,'(backend scoring)'!$S$2:$S$333,'(backend scoring)'!$A$2:$A$333,"")</f>
        <v/>
      </c>
      <c r="J92" s="242" t="str">
        <f aca="false">IFERROR(VLOOKUP($I92,'Institution Evaluation'!$A$55:$F$346,2,0),IFERROR(VLOOKUP($I92,'Privacy Analyst Evaluation'!$A$46:$F$120,2,0),""))</f>
        <v/>
      </c>
      <c r="K92" s="242" t="str">
        <f aca="false">IFERROR(VLOOKUP($I92,'Institution Evaluation'!$A$55:$F$346,3,0),IFERROR(VLOOKUP($I92,'Privacy Analyst Evaluation'!$A$46:$F$120,3,0),""))&amp;""</f>
        <v/>
      </c>
      <c r="L92" s="242" t="str">
        <f aca="false">IFERROR(VLOOKUP($I92,'Institution Evaluation'!$A$55:$F$346,4,0),IFERROR(VLOOKUP($I92,'Privacy Analyst Evaluation'!$A$46:$F$120,4,0),""))&amp;""</f>
        <v/>
      </c>
      <c r="M92" s="242" t="str">
        <f aca="false">IFERROR(VLOOKUP($I92,'Institution Evaluation'!$A$55:$F$346,6,0),IFERROR(VLOOKUP($I92,'Privacy Analyst Evaluation'!$A$46:$F$120,6,0),""))&amp;""</f>
        <v/>
      </c>
    </row>
    <row r="93" customFormat="false" ht="34.3" hidden="false" customHeight="false" outlineLevel="0" collapsed="false">
      <c r="A93" s="242" t="n">
        <f aca="false">IFERROR(IF($A92+1&gt;'(backend scoring)'!$T$335,"",$A92+1),"")</f>
        <v>69</v>
      </c>
      <c r="B93" s="242" t="str">
        <f aca="false">_xlfn.XLOOKUP($A93,'(backend scoring)'!$V$2:$V$333,'(backend scoring)'!$A$2:$A$333,"")</f>
        <v>PRPO-06</v>
      </c>
      <c r="C93" s="242" t="str">
        <f aca="false">IFERROR(VLOOKUP($B93,'Institution Evaluation'!$A$55:$F$346,2,0),IFERROR(VLOOKUP($B93,'Privacy Analyst Evaluation'!$A$46:$F$120,2,0),""))&amp;""</f>
        <v>Do you have a privacy awareness/training program?*</v>
      </c>
      <c r="D93" s="242" t="str">
        <f aca="false">IFERROR(VLOOKUP($B93,'Institution Evaluation'!$A$55:$F$346,3,0),IFERROR(VLOOKUP($B93,'Privacy Analyst Evaluation'!$A$46:$F$120,3,0),""))&amp;""</f>
        <v>No</v>
      </c>
      <c r="E93" s="242" t="str">
        <f aca="false">IFERROR(VLOOKUP($B93,'Institution Evaluation'!$A$55:$F$346,4,0),IFERROR(VLOOKUP($B93,'Privacy Analyst Evaluation'!$A$46:$F$120,4,0),""))&amp;""</f>
        <v>NA</v>
      </c>
      <c r="F93" s="242" t="str">
        <f aca="false">IFERROR(VLOOKUP($B93,'Institution Evaluation'!$A$55:$F$346,6,0),IFERROR(VLOOKUP($B93,'Privacy Analyst Evaluation'!$A$46:$F$120,6,0),""))&amp;""</f>
        <v/>
      </c>
      <c r="G93" s="243"/>
      <c r="H93" s="242" t="str">
        <f aca="false">IFERROR(IF($H92+1&gt;'(backend scoring)'!$Q$335,"",$H92+1),"")</f>
        <v/>
      </c>
      <c r="I93" s="242" t="str">
        <f aca="false">_xlfn.XLOOKUP($H93,'(backend scoring)'!$S$2:$S$333,'(backend scoring)'!$A$2:$A$333,"")</f>
        <v/>
      </c>
      <c r="J93" s="242" t="str">
        <f aca="false">IFERROR(VLOOKUP($I93,'Institution Evaluation'!$A$55:$F$346,2,0),IFERROR(VLOOKUP($I93,'Privacy Analyst Evaluation'!$A$46:$F$120,2,0),""))</f>
        <v/>
      </c>
      <c r="K93" s="242" t="str">
        <f aca="false">IFERROR(VLOOKUP($I93,'Institution Evaluation'!$A$55:$F$346,3,0),IFERROR(VLOOKUP($I93,'Privacy Analyst Evaluation'!$A$46:$F$120,3,0),""))&amp;""</f>
        <v/>
      </c>
      <c r="L93" s="242" t="str">
        <f aca="false">IFERROR(VLOOKUP($I93,'Institution Evaluation'!$A$55:$F$346,4,0),IFERROR(VLOOKUP($I93,'Privacy Analyst Evaluation'!$A$46:$F$120,4,0),""))&amp;""</f>
        <v/>
      </c>
      <c r="M93" s="242" t="str">
        <f aca="false">IFERROR(VLOOKUP($I93,'Institution Evaluation'!$A$55:$F$346,6,0),IFERROR(VLOOKUP($I93,'Privacy Analyst Evaluation'!$A$46:$F$120,6,0),""))&amp;""</f>
        <v/>
      </c>
    </row>
    <row r="94" customFormat="false" ht="67.15" hidden="false" customHeight="false" outlineLevel="0" collapsed="false">
      <c r="A94" s="242" t="n">
        <f aca="false">IFERROR(IF($A93+1&gt;'(backend scoring)'!$T$335,"",$A93+1),"")</f>
        <v>70</v>
      </c>
      <c r="B94" s="242" t="str">
        <f aca="false">_xlfn.XLOOKUP($A94,'(backend scoring)'!$V$2:$V$333,'(backend scoring)'!$A$2:$A$333,"")</f>
        <v>PRPO-12</v>
      </c>
      <c r="C94" s="242" t="str">
        <f aca="false">IFERROR(VLOOKUP($B94,'Institution Evaluation'!$A$55:$F$346,2,0),IFERROR(VLOOKUP($B94,'Privacy Analyst Evaluation'!$A$46:$F$120,2,0),""))&amp;""</f>
        <v>Do you share any institutional data with law enforcement without a valid warrant or subpoena?*</v>
      </c>
      <c r="D94" s="242" t="str">
        <f aca="false">IFERROR(VLOOKUP($B94,'Institution Evaluation'!$A$55:$F$346,3,0),IFERROR(VLOOKUP($B94,'Privacy Analyst Evaluation'!$A$46:$F$120,3,0),""))&amp;""</f>
        <v>No</v>
      </c>
      <c r="E94" s="242" t="str">
        <f aca="false">IFERROR(VLOOKUP($B94,'Institution Evaluation'!$A$55:$F$346,4,0),IFERROR(VLOOKUP($B94,'Privacy Analyst Evaluation'!$A$46:$F$120,4,0),""))&amp;""</f>
        <v>NA</v>
      </c>
      <c r="F94" s="242" t="str">
        <f aca="false">IFERROR(VLOOKUP($B94,'Institution Evaluation'!$A$55:$F$346,6,0),IFERROR(VLOOKUP($B94,'Privacy Analyst Evaluation'!$A$46:$F$120,6,0),""))&amp;""</f>
        <v/>
      </c>
      <c r="G94" s="243"/>
      <c r="H94" s="242" t="str">
        <f aca="false">IFERROR(IF($H93+1&gt;'(backend scoring)'!$Q$335,"",$H93+1),"")</f>
        <v/>
      </c>
      <c r="I94" s="242" t="str">
        <f aca="false">_xlfn.XLOOKUP($H94,'(backend scoring)'!$S$2:$S$333,'(backend scoring)'!$A$2:$A$333,"")</f>
        <v/>
      </c>
      <c r="J94" s="242" t="str">
        <f aca="false">IFERROR(VLOOKUP($I94,'Institution Evaluation'!$A$55:$F$346,2,0),IFERROR(VLOOKUP($I94,'Privacy Analyst Evaluation'!$A$46:$F$120,2,0),""))</f>
        <v/>
      </c>
      <c r="K94" s="242" t="str">
        <f aca="false">IFERROR(VLOOKUP($I94,'Institution Evaluation'!$A$55:$F$346,3,0),IFERROR(VLOOKUP($I94,'Privacy Analyst Evaluation'!$A$46:$F$120,3,0),""))&amp;""</f>
        <v/>
      </c>
      <c r="L94" s="242" t="str">
        <f aca="false">IFERROR(VLOOKUP($I94,'Institution Evaluation'!$A$55:$F$346,4,0),IFERROR(VLOOKUP($I94,'Privacy Analyst Evaluation'!$A$46:$F$120,4,0),""))&amp;""</f>
        <v/>
      </c>
      <c r="M94" s="242" t="str">
        <f aca="false">IFERROR(VLOOKUP($I94,'Institution Evaluation'!$A$55:$F$346,6,0),IFERROR(VLOOKUP($I94,'Privacy Analyst Evaluation'!$A$46:$F$120,6,0),""))&amp;""</f>
        <v/>
      </c>
    </row>
    <row r="95" customFormat="false" ht="34.3" hidden="false" customHeight="false" outlineLevel="0" collapsed="false">
      <c r="A95" s="242" t="n">
        <f aca="false">IFERROR(IF($A94+1&gt;'(backend scoring)'!$T$335,"",$A94+1),"")</f>
        <v>71</v>
      </c>
      <c r="B95" s="242" t="str">
        <f aca="false">_xlfn.XLOOKUP($A95,'(backend scoring)'!$V$2:$V$333,'(backend scoring)'!$A$2:$A$333,"")</f>
        <v>DPAI-02</v>
      </c>
      <c r="C95" s="242" t="str">
        <f aca="false">IFERROR(VLOOKUP($B95,'Institution Evaluation'!$A$55:$F$346,2,0),IFERROR(VLOOKUP($B95,'Privacy Analyst Evaluation'!$A$46:$F$120,2,0),""))&amp;""</f>
        <v>Is any institutional data retained in AI processing?*</v>
      </c>
      <c r="D95" s="242" t="str">
        <f aca="false">IFERROR(VLOOKUP($B95,'Institution Evaluation'!$A$55:$F$346,3,0),IFERROR(VLOOKUP($B95,'Privacy Analyst Evaluation'!$A$46:$F$120,3,0),""))&amp;""</f>
        <v/>
      </c>
      <c r="E95" s="242" t="str">
        <f aca="false">IFERROR(VLOOKUP($B95,'Institution Evaluation'!$A$55:$F$346,4,0),IFERROR(VLOOKUP($B95,'Privacy Analyst Evaluation'!$A$46:$F$120,4,0),""))&amp;""</f>
        <v>This question does not apply.</v>
      </c>
      <c r="F95" s="242" t="str">
        <f aca="false">IFERROR(VLOOKUP($B95,'Institution Evaluation'!$A$55:$F$346,6,0),IFERROR(VLOOKUP($B95,'Privacy Analyst Evaluation'!$A$46:$F$120,6,0),""))&amp;""</f>
        <v/>
      </c>
      <c r="G95" s="243"/>
      <c r="H95" s="242" t="str">
        <f aca="false">IFERROR(IF($H94+1&gt;'(backend scoring)'!$Q$335,"",$H94+1),"")</f>
        <v/>
      </c>
      <c r="I95" s="242" t="str">
        <f aca="false">_xlfn.XLOOKUP($H95,'(backend scoring)'!$S$2:$S$333,'(backend scoring)'!$A$2:$A$333,"")</f>
        <v/>
      </c>
      <c r="J95" s="242" t="str">
        <f aca="false">IFERROR(VLOOKUP($I95,'Institution Evaluation'!$A$55:$F$346,2,0),IFERROR(VLOOKUP($I95,'Privacy Analyst Evaluation'!$A$46:$F$120,2,0),""))</f>
        <v/>
      </c>
      <c r="K95" s="242" t="str">
        <f aca="false">IFERROR(VLOOKUP($I95,'Institution Evaluation'!$A$55:$F$346,3,0),IFERROR(VLOOKUP($I95,'Privacy Analyst Evaluation'!$A$46:$F$120,3,0),""))&amp;""</f>
        <v/>
      </c>
      <c r="L95" s="242" t="str">
        <f aca="false">IFERROR(VLOOKUP($I95,'Institution Evaluation'!$A$55:$F$346,4,0),IFERROR(VLOOKUP($I95,'Privacy Analyst Evaluation'!$A$46:$F$120,4,0),""))&amp;""</f>
        <v/>
      </c>
      <c r="M95" s="242" t="str">
        <f aca="false">IFERROR(VLOOKUP($I95,'Institution Evaluation'!$A$55:$F$346,6,0),IFERROR(VLOOKUP($I95,'Privacy Analyst Evaluation'!$A$46:$F$120,6,0),""))&amp;""</f>
        <v/>
      </c>
    </row>
    <row r="96" customFormat="false" ht="83.55" hidden="false" customHeight="false" outlineLevel="0" collapsed="false">
      <c r="A96" s="242" t="n">
        <f aca="false">IFERROR(IF($A95+1&gt;'(backend scoring)'!$T$335,"",$A95+1),"")</f>
        <v>72</v>
      </c>
      <c r="B96" s="242" t="str">
        <f aca="false">_xlfn.XLOOKUP($A96,'(backend scoring)'!$V$2:$V$333,'(backend scoring)'!$A$2:$A$333,"")</f>
        <v>DPAI-03</v>
      </c>
      <c r="C96" s="242" t="str">
        <f aca="false">IFERROR(VLOOKUP($B96,'Institution Evaluation'!$A$55:$F$346,2,0),IFERROR(VLOOKUP($B96,'Privacy Analyst Evaluation'!$A$46:$F$120,2,0),""))&amp;""</f>
        <v>Do you have agreements in place with third parties or subprocessors regarding the protection of customer data and use of AI?*</v>
      </c>
      <c r="D96" s="242" t="str">
        <f aca="false">IFERROR(VLOOKUP($B96,'Institution Evaluation'!$A$55:$F$346,3,0),IFERROR(VLOOKUP($B96,'Privacy Analyst Evaluation'!$A$46:$F$120,3,0),""))&amp;""</f>
        <v/>
      </c>
      <c r="E96" s="242" t="str">
        <f aca="false">IFERROR(VLOOKUP($B96,'Institution Evaluation'!$A$55:$F$346,4,0),IFERROR(VLOOKUP($B96,'Privacy Analyst Evaluation'!$A$46:$F$120,4,0),""))&amp;""</f>
        <v>This question does not apply.</v>
      </c>
      <c r="F96" s="242" t="str">
        <f aca="false">IFERROR(VLOOKUP($B96,'Institution Evaluation'!$A$55:$F$346,6,0),IFERROR(VLOOKUP($B96,'Privacy Analyst Evaluation'!$A$46:$F$120,6,0),""))&amp;""</f>
        <v/>
      </c>
      <c r="G96" s="243"/>
      <c r="H96" s="242" t="str">
        <f aca="false">IFERROR(IF($H95+1&gt;'(backend scoring)'!$Q$335,"",$H95+1),"")</f>
        <v/>
      </c>
      <c r="I96" s="242" t="str">
        <f aca="false">_xlfn.XLOOKUP($H96,'(backend scoring)'!$S$2:$S$333,'(backend scoring)'!$A$2:$A$333,"")</f>
        <v/>
      </c>
      <c r="J96" s="242" t="str">
        <f aca="false">IFERROR(VLOOKUP($I96,'Institution Evaluation'!$A$55:$F$346,2,0),IFERROR(VLOOKUP($I96,'Privacy Analyst Evaluation'!$A$46:$F$120,2,0),""))</f>
        <v/>
      </c>
      <c r="K96" s="242" t="str">
        <f aca="false">IFERROR(VLOOKUP($I96,'Institution Evaluation'!$A$55:$F$346,3,0),IFERROR(VLOOKUP($I96,'Privacy Analyst Evaluation'!$A$46:$F$120,3,0),""))&amp;""</f>
        <v/>
      </c>
      <c r="L96" s="242" t="str">
        <f aca="false">IFERROR(VLOOKUP($I96,'Institution Evaluation'!$A$55:$F$346,4,0),IFERROR(VLOOKUP($I96,'Privacy Analyst Evaluation'!$A$46:$F$120,4,0),""))&amp;""</f>
        <v/>
      </c>
      <c r="M96" s="242" t="str">
        <f aca="false">IFERROR(VLOOKUP($I96,'Institution Evaluation'!$A$55:$F$346,6,0),IFERROR(VLOOKUP($I96,'Privacy Analyst Evaluation'!$A$46:$F$120,6,0),""))&amp;""</f>
        <v/>
      </c>
    </row>
    <row r="97" customFormat="false" ht="67.15" hidden="false" customHeight="false" outlineLevel="0" collapsed="false">
      <c r="A97" s="242" t="n">
        <f aca="false">IFERROR(IF($A96+1&gt;'(backend scoring)'!$T$335,"",$A96+1),"")</f>
        <v>73</v>
      </c>
      <c r="B97" s="242" t="str">
        <f aca="false">_xlfn.XLOOKUP($A97,'(backend scoring)'!$V$2:$V$333,'(backend scoring)'!$A$2:$A$333,"")</f>
        <v>AIGN-01</v>
      </c>
      <c r="C97" s="242" t="str">
        <f aca="false">IFERROR(VLOOKUP($B97,'Institution Evaluation'!$A$55:$F$346,2,0),IFERROR(VLOOKUP($B97,'Privacy Analyst Evaluation'!$A$46:$F$120,2,0),""))&amp;""</f>
        <v>Does your solution have an AI risk model when developing or implementing your solution's AI model?*</v>
      </c>
      <c r="D97" s="242" t="str">
        <f aca="false">IFERROR(VLOOKUP($B97,'Institution Evaluation'!$A$55:$F$346,3,0),IFERROR(VLOOKUP($B97,'Privacy Analyst Evaluation'!$A$46:$F$120,3,0),""))&amp;""</f>
        <v/>
      </c>
      <c r="E97" s="242" t="str">
        <f aca="false">IFERROR(VLOOKUP($B97,'Institution Evaluation'!$A$55:$F$346,4,0),IFERROR(VLOOKUP($B97,'Privacy Analyst Evaluation'!$A$46:$F$120,4,0),""))&amp;""</f>
        <v>This question does not apply.</v>
      </c>
      <c r="F97" s="242" t="str">
        <f aca="false">IFERROR(VLOOKUP($B97,'Institution Evaluation'!$A$55:$F$346,6,0),IFERROR(VLOOKUP($B97,'Privacy Analyst Evaluation'!$A$46:$F$120,6,0),""))&amp;""</f>
        <v/>
      </c>
      <c r="G97" s="243"/>
      <c r="H97" s="242" t="str">
        <f aca="false">IFERROR(IF($H96+1&gt;'(backend scoring)'!$Q$335,"",$H96+1),"")</f>
        <v/>
      </c>
      <c r="I97" s="242" t="str">
        <f aca="false">_xlfn.XLOOKUP($H97,'(backend scoring)'!$S$2:$S$333,'(backend scoring)'!$A$2:$A$333,"")</f>
        <v/>
      </c>
      <c r="J97" s="242" t="str">
        <f aca="false">IFERROR(VLOOKUP($I97,'Institution Evaluation'!$A$55:$F$346,2,0),IFERROR(VLOOKUP($I97,'Privacy Analyst Evaluation'!$A$46:$F$120,2,0),""))</f>
        <v/>
      </c>
      <c r="K97" s="242" t="str">
        <f aca="false">IFERROR(VLOOKUP($I97,'Institution Evaluation'!$A$55:$F$346,3,0),IFERROR(VLOOKUP($I97,'Privacy Analyst Evaluation'!$A$46:$F$120,3,0),""))&amp;""</f>
        <v/>
      </c>
      <c r="L97" s="242" t="str">
        <f aca="false">IFERROR(VLOOKUP($I97,'Institution Evaluation'!$A$55:$F$346,4,0),IFERROR(VLOOKUP($I97,'Privacy Analyst Evaluation'!$A$46:$F$120,4,0),""))&amp;""</f>
        <v/>
      </c>
      <c r="M97" s="242" t="str">
        <f aca="false">IFERROR(VLOOKUP($I97,'Institution Evaluation'!$A$55:$F$346,6,0),IFERROR(VLOOKUP($I97,'Privacy Analyst Evaluation'!$A$46:$F$120,6,0),""))&amp;""</f>
        <v/>
      </c>
    </row>
    <row r="98" customFormat="false" ht="50.7" hidden="false" customHeight="false" outlineLevel="0" collapsed="false">
      <c r="A98" s="242" t="n">
        <f aca="false">IFERROR(IF($A97+1&gt;'(backend scoring)'!$T$335,"",$A97+1),"")</f>
        <v>74</v>
      </c>
      <c r="B98" s="242" t="str">
        <f aca="false">_xlfn.XLOOKUP($A98,'(backend scoring)'!$V$2:$V$333,'(backend scoring)'!$A$2:$A$333,"")</f>
        <v>AIGN-02</v>
      </c>
      <c r="C98" s="242" t="str">
        <f aca="false">IFERROR(VLOOKUP($B98,'Institution Evaluation'!$A$55:$F$346,2,0),IFERROR(VLOOKUP($B98,'Privacy Analyst Evaluation'!$A$46:$F$120,2,0),""))&amp;""</f>
        <v>Can your solution's AI features be disabled by tenant and/or user?*</v>
      </c>
      <c r="D98" s="242" t="str">
        <f aca="false">IFERROR(VLOOKUP($B98,'Institution Evaluation'!$A$55:$F$346,3,0),IFERROR(VLOOKUP($B98,'Privacy Analyst Evaluation'!$A$46:$F$120,3,0),""))&amp;""</f>
        <v/>
      </c>
      <c r="E98" s="242" t="str">
        <f aca="false">IFERROR(VLOOKUP($B98,'Institution Evaluation'!$A$55:$F$346,4,0),IFERROR(VLOOKUP($B98,'Privacy Analyst Evaluation'!$A$46:$F$120,4,0),""))&amp;""</f>
        <v>This question does not apply.</v>
      </c>
      <c r="F98" s="242" t="str">
        <f aca="false">IFERROR(VLOOKUP($B98,'Institution Evaluation'!$A$55:$F$346,6,0),IFERROR(VLOOKUP($B98,'Privacy Analyst Evaluation'!$A$46:$F$120,6,0),""))&amp;""</f>
        <v/>
      </c>
      <c r="G98" s="243"/>
      <c r="H98" s="242" t="str">
        <f aca="false">IFERROR(IF($H97+1&gt;'(backend scoring)'!$Q$335,"",$H97+1),"")</f>
        <v/>
      </c>
      <c r="I98" s="242" t="str">
        <f aca="false">_xlfn.XLOOKUP($H98,'(backend scoring)'!$S$2:$S$333,'(backend scoring)'!$A$2:$A$333,"")</f>
        <v/>
      </c>
      <c r="J98" s="242" t="str">
        <f aca="false">IFERROR(VLOOKUP($I98,'Institution Evaluation'!$A$55:$F$346,2,0),IFERROR(VLOOKUP($I98,'Privacy Analyst Evaluation'!$A$46:$F$120,2,0),""))</f>
        <v/>
      </c>
      <c r="K98" s="242" t="str">
        <f aca="false">IFERROR(VLOOKUP($I98,'Institution Evaluation'!$A$55:$F$346,3,0),IFERROR(VLOOKUP($I98,'Privacy Analyst Evaluation'!$A$46:$F$120,3,0),""))&amp;""</f>
        <v/>
      </c>
      <c r="L98" s="242" t="str">
        <f aca="false">IFERROR(VLOOKUP($I98,'Institution Evaluation'!$A$55:$F$346,4,0),IFERROR(VLOOKUP($I98,'Privacy Analyst Evaluation'!$A$46:$F$120,4,0),""))&amp;""</f>
        <v/>
      </c>
      <c r="M98" s="242" t="str">
        <f aca="false">IFERROR(VLOOKUP($I98,'Institution Evaluation'!$A$55:$F$346,6,0),IFERROR(VLOOKUP($I98,'Privacy Analyst Evaluation'!$A$46:$F$120,6,0),""))&amp;""</f>
        <v/>
      </c>
    </row>
    <row r="99" customFormat="false" ht="34.3" hidden="false" customHeight="false" outlineLevel="0" collapsed="false">
      <c r="A99" s="242" t="n">
        <f aca="false">IFERROR(IF($A98+1&gt;'(backend scoring)'!$T$335,"",$A98+1),"")</f>
        <v>75</v>
      </c>
      <c r="B99" s="242" t="str">
        <f aca="false">_xlfn.XLOOKUP($A99,'(backend scoring)'!$V$2:$V$333,'(backend scoring)'!$A$2:$A$333,"")</f>
        <v>AIGN-03</v>
      </c>
      <c r="C99" s="242" t="str">
        <f aca="false">IFERROR(VLOOKUP($B99,'Institution Evaluation'!$A$55:$F$346,2,0),IFERROR(VLOOKUP($B99,'Privacy Analyst Evaluation'!$A$46:$F$120,2,0),""))&amp;""</f>
        <v>Have your staff completed responsible AI training?*</v>
      </c>
      <c r="D99" s="242" t="str">
        <f aca="false">IFERROR(VLOOKUP($B99,'Institution Evaluation'!$A$55:$F$346,3,0),IFERROR(VLOOKUP($B99,'Privacy Analyst Evaluation'!$A$46:$F$120,3,0),""))&amp;""</f>
        <v/>
      </c>
      <c r="E99" s="242" t="str">
        <f aca="false">IFERROR(VLOOKUP($B99,'Institution Evaluation'!$A$55:$F$346,4,0),IFERROR(VLOOKUP($B99,'Privacy Analyst Evaluation'!$A$46:$F$120,4,0),""))&amp;""</f>
        <v>This question does not apply.</v>
      </c>
      <c r="F99" s="242" t="str">
        <f aca="false">IFERROR(VLOOKUP($B99,'Institution Evaluation'!$A$55:$F$346,6,0),IFERROR(VLOOKUP($B99,'Privacy Analyst Evaluation'!$A$46:$F$120,6,0),""))&amp;""</f>
        <v/>
      </c>
      <c r="G99" s="243"/>
      <c r="H99" s="242" t="str">
        <f aca="false">IFERROR(IF($H98+1&gt;'(backend scoring)'!$Q$335,"",$H98+1),"")</f>
        <v/>
      </c>
      <c r="I99" s="242" t="str">
        <f aca="false">_xlfn.XLOOKUP($H99,'(backend scoring)'!$S$2:$S$333,'(backend scoring)'!$A$2:$A$333,"")</f>
        <v/>
      </c>
      <c r="J99" s="242" t="str">
        <f aca="false">IFERROR(VLOOKUP($I99,'Institution Evaluation'!$A$55:$F$346,2,0),IFERROR(VLOOKUP($I99,'Privacy Analyst Evaluation'!$A$46:$F$120,2,0),""))</f>
        <v/>
      </c>
      <c r="K99" s="242" t="str">
        <f aca="false">IFERROR(VLOOKUP($I99,'Institution Evaluation'!$A$55:$F$346,3,0),IFERROR(VLOOKUP($I99,'Privacy Analyst Evaluation'!$A$46:$F$120,3,0),""))&amp;""</f>
        <v/>
      </c>
      <c r="L99" s="242" t="str">
        <f aca="false">IFERROR(VLOOKUP($I99,'Institution Evaluation'!$A$55:$F$346,4,0),IFERROR(VLOOKUP($I99,'Privacy Analyst Evaluation'!$A$46:$F$120,4,0),""))&amp;""</f>
        <v/>
      </c>
      <c r="M99" s="242" t="str">
        <f aca="false">IFERROR(VLOOKUP($I99,'Institution Evaluation'!$A$55:$F$346,6,0),IFERROR(VLOOKUP($I99,'Privacy Analyst Evaluation'!$A$46:$F$120,6,0),""))&amp;""</f>
        <v/>
      </c>
    </row>
    <row r="100" customFormat="false" ht="149.25" hidden="false" customHeight="false" outlineLevel="0" collapsed="false">
      <c r="A100" s="242" t="n">
        <f aca="false">IFERROR(IF($A99+1&gt;'(backend scoring)'!$T$335,"",$A99+1),"")</f>
        <v>76</v>
      </c>
      <c r="B100" s="242" t="str">
        <f aca="false">_xlfn.XLOOKUP($A100,'(backend scoring)'!$V$2:$V$333,'(backend scoring)'!$A$2:$A$333,"")</f>
        <v>AIPL-01</v>
      </c>
      <c r="C100" s="242" t="str">
        <f aca="false">IFERROR(VLOOKUP($B100,'Institution Evaluation'!$A$55:$F$346,2,0),IFERROR(VLOOKUP($B100,'Privacy Analyst Evaluation'!$A$46:$F$120,2,0),""))&amp;""</f>
        <v>Are your AI developer's policies, processes, procedures, and practices across the organization related to the mapping, measuring, and managing of AI risks conspicuously posted, unambiguous, and implemented effectively?*</v>
      </c>
      <c r="D100" s="242" t="str">
        <f aca="false">IFERROR(VLOOKUP($B100,'Institution Evaluation'!$A$55:$F$346,3,0),IFERROR(VLOOKUP($B100,'Privacy Analyst Evaluation'!$A$46:$F$120,3,0),""))&amp;""</f>
        <v/>
      </c>
      <c r="E100" s="242" t="str">
        <f aca="false">IFERROR(VLOOKUP($B100,'Institution Evaluation'!$A$55:$F$346,4,0),IFERROR(VLOOKUP($B100,'Privacy Analyst Evaluation'!$A$46:$F$120,4,0),""))&amp;""</f>
        <v>This question does not apply.</v>
      </c>
      <c r="F100" s="242" t="str">
        <f aca="false">IFERROR(VLOOKUP($B100,'Institution Evaluation'!$A$55:$F$346,6,0),IFERROR(VLOOKUP($B100,'Privacy Analyst Evaluation'!$A$46:$F$120,6,0),""))&amp;""</f>
        <v/>
      </c>
      <c r="G100" s="243"/>
      <c r="H100" s="242" t="str">
        <f aca="false">IFERROR(IF($H99+1&gt;'(backend scoring)'!$Q$335,"",$H99+1),"")</f>
        <v/>
      </c>
      <c r="I100" s="242" t="str">
        <f aca="false">_xlfn.XLOOKUP($H100,'(backend scoring)'!$S$2:$S$333,'(backend scoring)'!$A$2:$A$333,"")</f>
        <v/>
      </c>
      <c r="J100" s="242" t="str">
        <f aca="false">IFERROR(VLOOKUP($I100,'Institution Evaluation'!$A$55:$F$346,2,0),IFERROR(VLOOKUP($I100,'Privacy Analyst Evaluation'!$A$46:$F$120,2,0),""))</f>
        <v/>
      </c>
      <c r="K100" s="242" t="str">
        <f aca="false">IFERROR(VLOOKUP($I100,'Institution Evaluation'!$A$55:$F$346,3,0),IFERROR(VLOOKUP($I100,'Privacy Analyst Evaluation'!$A$46:$F$120,3,0),""))&amp;""</f>
        <v/>
      </c>
      <c r="L100" s="242" t="str">
        <f aca="false">IFERROR(VLOOKUP($I100,'Institution Evaluation'!$A$55:$F$346,4,0),IFERROR(VLOOKUP($I100,'Privacy Analyst Evaluation'!$A$46:$F$120,4,0),""))&amp;""</f>
        <v/>
      </c>
      <c r="M100" s="242" t="str">
        <f aca="false">IFERROR(VLOOKUP($I100,'Institution Evaluation'!$A$55:$F$346,6,0),IFERROR(VLOOKUP($I100,'Privacy Analyst Evaluation'!$A$46:$F$120,6,0),""))&amp;""</f>
        <v/>
      </c>
    </row>
    <row r="101" customFormat="false" ht="34.3" hidden="false" customHeight="false" outlineLevel="0" collapsed="false">
      <c r="A101" s="242" t="n">
        <f aca="false">IFERROR(IF($A100+1&gt;'(backend scoring)'!$T$335,"",$A100+1),"")</f>
        <v>77</v>
      </c>
      <c r="B101" s="242" t="str">
        <f aca="false">_xlfn.XLOOKUP($A101,'(backend scoring)'!$V$2:$V$333,'(backend scoring)'!$A$2:$A$333,"")</f>
        <v>AIPL-02</v>
      </c>
      <c r="C101" s="242" t="str">
        <f aca="false">IFERROR(VLOOKUP($B101,'Institution Evaluation'!$A$55:$F$346,2,0),IFERROR(VLOOKUP($B101,'Privacy Analyst Evaluation'!$A$46:$F$120,2,0),""))&amp;""</f>
        <v>Have you identified and measured AI risks?*</v>
      </c>
      <c r="D101" s="242" t="str">
        <f aca="false">IFERROR(VLOOKUP($B101,'Institution Evaluation'!$A$55:$F$346,3,0),IFERROR(VLOOKUP($B101,'Privacy Analyst Evaluation'!$A$46:$F$120,3,0),""))&amp;""</f>
        <v/>
      </c>
      <c r="E101" s="242" t="str">
        <f aca="false">IFERROR(VLOOKUP($B101,'Institution Evaluation'!$A$55:$F$346,4,0),IFERROR(VLOOKUP($B101,'Privacy Analyst Evaluation'!$A$46:$F$120,4,0),""))&amp;""</f>
        <v>This question does not apply.</v>
      </c>
      <c r="F101" s="242" t="str">
        <f aca="false">IFERROR(VLOOKUP($B101,'Institution Evaluation'!$A$55:$F$346,6,0),IFERROR(VLOOKUP($B101,'Privacy Analyst Evaluation'!$A$46:$F$120,6,0),""))&amp;""</f>
        <v/>
      </c>
      <c r="G101" s="243"/>
      <c r="H101" s="242" t="str">
        <f aca="false">IFERROR(IF($H100+1&gt;'(backend scoring)'!$Q$335,"",$H100+1),"")</f>
        <v/>
      </c>
      <c r="I101" s="242" t="str">
        <f aca="false">_xlfn.XLOOKUP($H101,'(backend scoring)'!$S$2:$S$333,'(backend scoring)'!$A$2:$A$333,"")</f>
        <v/>
      </c>
      <c r="J101" s="242" t="str">
        <f aca="false">IFERROR(VLOOKUP($I101,'Institution Evaluation'!$A$55:$F$346,2,0),IFERROR(VLOOKUP($I101,'Privacy Analyst Evaluation'!$A$46:$F$120,2,0),""))</f>
        <v/>
      </c>
      <c r="K101" s="242" t="str">
        <f aca="false">IFERROR(VLOOKUP($I101,'Institution Evaluation'!$A$55:$F$346,3,0),IFERROR(VLOOKUP($I101,'Privacy Analyst Evaluation'!$A$46:$F$120,3,0),""))&amp;""</f>
        <v/>
      </c>
      <c r="L101" s="242" t="str">
        <f aca="false">IFERROR(VLOOKUP($I101,'Institution Evaluation'!$A$55:$F$346,4,0),IFERROR(VLOOKUP($I101,'Privacy Analyst Evaluation'!$A$46:$F$120,4,0),""))&amp;""</f>
        <v/>
      </c>
      <c r="M101" s="242" t="str">
        <f aca="false">IFERROR(VLOOKUP($I101,'Institution Evaluation'!$A$55:$F$346,6,0),IFERROR(VLOOKUP($I101,'Privacy Analyst Evaluation'!$A$46:$F$120,6,0),""))&amp;""</f>
        <v/>
      </c>
    </row>
    <row r="102" customFormat="false" ht="50.7" hidden="false" customHeight="false" outlineLevel="0" collapsed="false">
      <c r="A102" s="242" t="n">
        <f aca="false">IFERROR(IF($A101+1&gt;'(backend scoring)'!$T$335,"",$A101+1),"")</f>
        <v>78</v>
      </c>
      <c r="B102" s="242" t="str">
        <f aca="false">_xlfn.XLOOKUP($A102,'(backend scoring)'!$V$2:$V$333,'(backend scoring)'!$A$2:$A$333,"")</f>
        <v>AIPL-03</v>
      </c>
      <c r="C102" s="242" t="str">
        <f aca="false">IFERROR(VLOOKUP($B102,'Institution Evaluation'!$A$55:$F$346,2,0),IFERROR(VLOOKUP($B102,'Privacy Analyst Evaluation'!$A$46:$F$120,2,0),""))&amp;""</f>
        <v>In the event of an incident, can your solution's AI features be disabled in a timely manner?*</v>
      </c>
      <c r="D102" s="242" t="str">
        <f aca="false">IFERROR(VLOOKUP($B102,'Institution Evaluation'!$A$55:$F$346,3,0),IFERROR(VLOOKUP($B102,'Privacy Analyst Evaluation'!$A$46:$F$120,3,0),""))&amp;""</f>
        <v/>
      </c>
      <c r="E102" s="242" t="str">
        <f aca="false">IFERROR(VLOOKUP($B102,'Institution Evaluation'!$A$55:$F$346,4,0),IFERROR(VLOOKUP($B102,'Privacy Analyst Evaluation'!$A$46:$F$120,4,0),""))&amp;""</f>
        <v>This question does not apply.</v>
      </c>
      <c r="F102" s="242" t="str">
        <f aca="false">IFERROR(VLOOKUP($B102,'Institution Evaluation'!$A$55:$F$346,6,0),IFERROR(VLOOKUP($B102,'Privacy Analyst Evaluation'!$A$46:$F$120,6,0),""))&amp;""</f>
        <v/>
      </c>
      <c r="G102" s="243"/>
      <c r="H102" s="242" t="str">
        <f aca="false">IFERROR(IF($H101+1&gt;'(backend scoring)'!$Q$335,"",$H101+1),"")</f>
        <v/>
      </c>
      <c r="I102" s="242" t="str">
        <f aca="false">_xlfn.XLOOKUP($H102,'(backend scoring)'!$S$2:$S$333,'(backend scoring)'!$A$2:$A$333,"")</f>
        <v/>
      </c>
      <c r="J102" s="242" t="str">
        <f aca="false">IFERROR(VLOOKUP($I102,'Institution Evaluation'!$A$55:$F$346,2,0),IFERROR(VLOOKUP($I102,'Privacy Analyst Evaluation'!$A$46:$F$120,2,0),""))</f>
        <v/>
      </c>
      <c r="K102" s="242" t="str">
        <f aca="false">IFERROR(VLOOKUP($I102,'Institution Evaluation'!$A$55:$F$346,3,0),IFERROR(VLOOKUP($I102,'Privacy Analyst Evaluation'!$A$46:$F$120,3,0),""))&amp;""</f>
        <v/>
      </c>
      <c r="L102" s="242" t="str">
        <f aca="false">IFERROR(VLOOKUP($I102,'Institution Evaluation'!$A$55:$F$346,4,0),IFERROR(VLOOKUP($I102,'Privacy Analyst Evaluation'!$A$46:$F$120,4,0),""))&amp;""</f>
        <v/>
      </c>
      <c r="M102" s="242" t="str">
        <f aca="false">IFERROR(VLOOKUP($I102,'Institution Evaluation'!$A$55:$F$346,6,0),IFERROR(VLOOKUP($I102,'Privacy Analyst Evaluation'!$A$46:$F$120,6,0),""))&amp;""</f>
        <v/>
      </c>
    </row>
    <row r="103" customFormat="false" ht="67.15" hidden="false" customHeight="false" outlineLevel="0" collapsed="false">
      <c r="A103" s="242" t="n">
        <f aca="false">IFERROR(IF($A102+1&gt;'(backend scoring)'!$T$335,"",$A102+1),"")</f>
        <v>79</v>
      </c>
      <c r="B103" s="242" t="str">
        <f aca="false">_xlfn.XLOOKUP($A103,'(backend scoring)'!$V$2:$V$333,'(backend scoring)'!$A$2:$A$333,"")</f>
        <v>AIPL-04</v>
      </c>
      <c r="C103" s="242" t="str">
        <f aca="false">IFERROR(VLOOKUP($B103,'Institution Evaluation'!$A$55:$F$346,2,0),IFERROR(VLOOKUP($B103,'Privacy Analyst Evaluation'!$A$46:$F$120,2,0),""))&amp;""</f>
        <v>If disabled because of an incident, can your solution's AI features be re-enabled in a timely manner?*</v>
      </c>
      <c r="D103" s="242" t="str">
        <f aca="false">IFERROR(VLOOKUP($B103,'Institution Evaluation'!$A$55:$F$346,3,0),IFERROR(VLOOKUP($B103,'Privacy Analyst Evaluation'!$A$46:$F$120,3,0),""))&amp;""</f>
        <v/>
      </c>
      <c r="E103" s="242" t="str">
        <f aca="false">IFERROR(VLOOKUP($B103,'Institution Evaluation'!$A$55:$F$346,4,0),IFERROR(VLOOKUP($B103,'Privacy Analyst Evaluation'!$A$46:$F$120,4,0),""))&amp;""</f>
        <v>This question does not apply.</v>
      </c>
      <c r="F103" s="242" t="str">
        <f aca="false">IFERROR(VLOOKUP($B103,'Institution Evaluation'!$A$55:$F$346,6,0),IFERROR(VLOOKUP($B103,'Privacy Analyst Evaluation'!$A$46:$F$120,6,0),""))&amp;""</f>
        <v/>
      </c>
      <c r="G103" s="243"/>
      <c r="H103" s="242" t="str">
        <f aca="false">IFERROR(IF($H102+1&gt;'(backend scoring)'!$Q$335,"",$H102+1),"")</f>
        <v/>
      </c>
      <c r="I103" s="242" t="str">
        <f aca="false">_xlfn.XLOOKUP($H103,'(backend scoring)'!$S$2:$S$333,'(backend scoring)'!$A$2:$A$333,"")</f>
        <v/>
      </c>
      <c r="J103" s="242" t="str">
        <f aca="false">IFERROR(VLOOKUP($I103,'Institution Evaluation'!$A$55:$F$346,2,0),IFERROR(VLOOKUP($I103,'Privacy Analyst Evaluation'!$A$46:$F$120,2,0),""))</f>
        <v/>
      </c>
      <c r="K103" s="242" t="str">
        <f aca="false">IFERROR(VLOOKUP($I103,'Institution Evaluation'!$A$55:$F$346,3,0),IFERROR(VLOOKUP($I103,'Privacy Analyst Evaluation'!$A$46:$F$120,3,0),""))&amp;""</f>
        <v/>
      </c>
      <c r="L103" s="242" t="str">
        <f aca="false">IFERROR(VLOOKUP($I103,'Institution Evaluation'!$A$55:$F$346,4,0),IFERROR(VLOOKUP($I103,'Privacy Analyst Evaluation'!$A$46:$F$120,4,0),""))&amp;""</f>
        <v/>
      </c>
      <c r="M103" s="242" t="str">
        <f aca="false">IFERROR(VLOOKUP($I103,'Institution Evaluation'!$A$55:$F$346,6,0),IFERROR(VLOOKUP($I103,'Privacy Analyst Evaluation'!$A$46:$F$120,6,0),""))&amp;""</f>
        <v/>
      </c>
    </row>
    <row r="104" customFormat="false" ht="67.15" hidden="false" customHeight="false" outlineLevel="0" collapsed="false">
      <c r="A104" s="242" t="n">
        <f aca="false">IFERROR(IF($A103+1&gt;'(backend scoring)'!$T$335,"",$A103+1),"")</f>
        <v>80</v>
      </c>
      <c r="B104" s="242" t="str">
        <f aca="false">_xlfn.XLOOKUP($A104,'(backend scoring)'!$V$2:$V$333,'(backend scoring)'!$A$2:$A$333,"")</f>
        <v>AISC-01</v>
      </c>
      <c r="C104" s="242" t="str">
        <f aca="false">IFERROR(VLOOKUP($B104,'Institution Evaluation'!$A$55:$F$346,2,0),IFERROR(VLOOKUP($B104,'Privacy Analyst Evaluation'!$A$46:$F$120,2,0),""))&amp;""</f>
        <v>If sensitive data is introduced to your solution's AI model, can the data be removed from the AI model by request?*</v>
      </c>
      <c r="D104" s="242" t="str">
        <f aca="false">IFERROR(VLOOKUP($B104,'Institution Evaluation'!$A$55:$F$346,3,0),IFERROR(VLOOKUP($B104,'Privacy Analyst Evaluation'!$A$46:$F$120,3,0),""))&amp;""</f>
        <v/>
      </c>
      <c r="E104" s="242" t="str">
        <f aca="false">IFERROR(VLOOKUP($B104,'Institution Evaluation'!$A$55:$F$346,4,0),IFERROR(VLOOKUP($B104,'Privacy Analyst Evaluation'!$A$46:$F$120,4,0),""))&amp;""</f>
        <v>This question does not apply.</v>
      </c>
      <c r="F104" s="242" t="str">
        <f aca="false">IFERROR(VLOOKUP($B104,'Institution Evaluation'!$A$55:$F$346,6,0),IFERROR(VLOOKUP($B104,'Privacy Analyst Evaluation'!$A$46:$F$120,6,0),""))&amp;""</f>
        <v/>
      </c>
      <c r="G104" s="243"/>
      <c r="H104" s="242" t="str">
        <f aca="false">IFERROR(IF($H103+1&gt;'(backend scoring)'!$Q$335,"",$H103+1),"")</f>
        <v/>
      </c>
      <c r="I104" s="242" t="str">
        <f aca="false">_xlfn.XLOOKUP($H104,'(backend scoring)'!$S$2:$S$333,'(backend scoring)'!$A$2:$A$333,"")</f>
        <v/>
      </c>
      <c r="J104" s="242" t="str">
        <f aca="false">IFERROR(VLOOKUP($I104,'Institution Evaluation'!$A$55:$F$346,2,0),IFERROR(VLOOKUP($I104,'Privacy Analyst Evaluation'!$A$46:$F$120,2,0),""))</f>
        <v/>
      </c>
      <c r="K104" s="242" t="str">
        <f aca="false">IFERROR(VLOOKUP($I104,'Institution Evaluation'!$A$55:$F$346,3,0),IFERROR(VLOOKUP($I104,'Privacy Analyst Evaluation'!$A$46:$F$120,3,0),""))&amp;""</f>
        <v/>
      </c>
      <c r="L104" s="242" t="str">
        <f aca="false">IFERROR(VLOOKUP($I104,'Institution Evaluation'!$A$55:$F$346,4,0),IFERROR(VLOOKUP($I104,'Privacy Analyst Evaluation'!$A$46:$F$120,4,0),""))&amp;""</f>
        <v/>
      </c>
      <c r="M104" s="242" t="str">
        <f aca="false">IFERROR(VLOOKUP($I104,'Institution Evaluation'!$A$55:$F$346,6,0),IFERROR(VLOOKUP($I104,'Privacy Analyst Evaluation'!$A$46:$F$120,6,0),""))&amp;""</f>
        <v/>
      </c>
    </row>
    <row r="105" customFormat="false" ht="50.7" hidden="false" customHeight="false" outlineLevel="0" collapsed="false">
      <c r="A105" s="242" t="n">
        <f aca="false">IFERROR(IF($A104+1&gt;'(backend scoring)'!$T$335,"",$A104+1),"")</f>
        <v>81</v>
      </c>
      <c r="B105" s="242" t="str">
        <f aca="false">_xlfn.XLOOKUP($A105,'(backend scoring)'!$V$2:$V$333,'(backend scoring)'!$A$2:$A$333,"")</f>
        <v>AISC-02</v>
      </c>
      <c r="C105" s="242" t="str">
        <f aca="false">IFERROR(VLOOKUP($B105,'Institution Evaluation'!$A$55:$F$346,2,0),IFERROR(VLOOKUP($B105,'Privacy Analyst Evaluation'!$A$46:$F$120,2,0),""))&amp;""</f>
        <v>Is user input data used to influence your solution's AI model?*</v>
      </c>
      <c r="D105" s="242" t="str">
        <f aca="false">IFERROR(VLOOKUP($B105,'Institution Evaluation'!$A$55:$F$346,3,0),IFERROR(VLOOKUP($B105,'Privacy Analyst Evaluation'!$A$46:$F$120,3,0),""))&amp;""</f>
        <v/>
      </c>
      <c r="E105" s="242" t="str">
        <f aca="false">IFERROR(VLOOKUP($B105,'Institution Evaluation'!$A$55:$F$346,4,0),IFERROR(VLOOKUP($B105,'Privacy Analyst Evaluation'!$A$46:$F$120,4,0),""))&amp;""</f>
        <v>This question does not apply.</v>
      </c>
      <c r="F105" s="242" t="str">
        <f aca="false">IFERROR(VLOOKUP($B105,'Institution Evaluation'!$A$55:$F$346,6,0),IFERROR(VLOOKUP($B105,'Privacy Analyst Evaluation'!$A$46:$F$120,6,0),""))&amp;""</f>
        <v/>
      </c>
      <c r="G105" s="243"/>
      <c r="H105" s="242" t="str">
        <f aca="false">IFERROR(IF($H104+1&gt;'(backend scoring)'!$Q$335,"",$H104+1),"")</f>
        <v/>
      </c>
      <c r="I105" s="242" t="str">
        <f aca="false">_xlfn.XLOOKUP($H105,'(backend scoring)'!$S$2:$S$333,'(backend scoring)'!$A$2:$A$333,"")</f>
        <v/>
      </c>
      <c r="J105" s="242" t="str">
        <f aca="false">IFERROR(VLOOKUP($I105,'Institution Evaluation'!$A$55:$F$346,2,0),IFERROR(VLOOKUP($I105,'Privacy Analyst Evaluation'!$A$46:$F$120,2,0),""))</f>
        <v/>
      </c>
      <c r="K105" s="242" t="str">
        <f aca="false">IFERROR(VLOOKUP($I105,'Institution Evaluation'!$A$55:$F$346,3,0),IFERROR(VLOOKUP($I105,'Privacy Analyst Evaluation'!$A$46:$F$120,3,0),""))&amp;""</f>
        <v/>
      </c>
      <c r="L105" s="242" t="str">
        <f aca="false">IFERROR(VLOOKUP($I105,'Institution Evaluation'!$A$55:$F$346,4,0),IFERROR(VLOOKUP($I105,'Privacy Analyst Evaluation'!$A$46:$F$120,4,0),""))&amp;""</f>
        <v/>
      </c>
      <c r="M105" s="242" t="str">
        <f aca="false">IFERROR(VLOOKUP($I105,'Institution Evaluation'!$A$55:$F$346,6,0),IFERROR(VLOOKUP($I105,'Privacy Analyst Evaluation'!$A$46:$F$120,6,0),""))&amp;""</f>
        <v/>
      </c>
    </row>
    <row r="106" customFormat="false" ht="67.15" hidden="false" customHeight="false" outlineLevel="0" collapsed="false">
      <c r="A106" s="242" t="n">
        <f aca="false">IFERROR(IF($A105+1&gt;'(backend scoring)'!$T$335,"",$A105+1),"")</f>
        <v>82</v>
      </c>
      <c r="B106" s="242" t="str">
        <f aca="false">_xlfn.XLOOKUP($A106,'(backend scoring)'!$V$2:$V$333,'(backend scoring)'!$A$2:$A$333,"")</f>
        <v>AISC-03</v>
      </c>
      <c r="C106" s="242" t="str">
        <f aca="false">IFERROR(VLOOKUP($B106,'Institution Evaluation'!$A$55:$F$346,2,0),IFERROR(VLOOKUP($B106,'Privacy Analyst Evaluation'!$A$46:$F$120,2,0),""))&amp;""</f>
        <v>Do you provide logging for your solution's AI feature(s) that includes user, date, and action taken?*</v>
      </c>
      <c r="D106" s="242" t="str">
        <f aca="false">IFERROR(VLOOKUP($B106,'Institution Evaluation'!$A$55:$F$346,3,0),IFERROR(VLOOKUP($B106,'Privacy Analyst Evaluation'!$A$46:$F$120,3,0),""))&amp;""</f>
        <v/>
      </c>
      <c r="E106" s="242" t="str">
        <f aca="false">IFERROR(VLOOKUP($B106,'Institution Evaluation'!$A$55:$F$346,4,0),IFERROR(VLOOKUP($B106,'Privacy Analyst Evaluation'!$A$46:$F$120,4,0),""))&amp;""</f>
        <v>This question does not apply.</v>
      </c>
      <c r="F106" s="242" t="str">
        <f aca="false">IFERROR(VLOOKUP($B106,'Institution Evaluation'!$A$55:$F$346,6,0),IFERROR(VLOOKUP($B106,'Privacy Analyst Evaluation'!$A$46:$F$120,6,0),""))&amp;""</f>
        <v/>
      </c>
      <c r="G106" s="243"/>
      <c r="H106" s="242" t="str">
        <f aca="false">IFERROR(IF($H105+1&gt;'(backend scoring)'!$Q$335,"",$H105+1),"")</f>
        <v/>
      </c>
      <c r="I106" s="242" t="str">
        <f aca="false">_xlfn.XLOOKUP($H106,'(backend scoring)'!$S$2:$S$333,'(backend scoring)'!$A$2:$A$333,"")</f>
        <v/>
      </c>
      <c r="J106" s="242" t="str">
        <f aca="false">IFERROR(VLOOKUP($I106,'Institution Evaluation'!$A$55:$F$346,2,0),IFERROR(VLOOKUP($I106,'Privacy Analyst Evaluation'!$A$46:$F$120,2,0),""))</f>
        <v/>
      </c>
      <c r="K106" s="242" t="str">
        <f aca="false">IFERROR(VLOOKUP($I106,'Institution Evaluation'!$A$55:$F$346,3,0),IFERROR(VLOOKUP($I106,'Privacy Analyst Evaluation'!$A$46:$F$120,3,0),""))&amp;""</f>
        <v/>
      </c>
      <c r="L106" s="242" t="str">
        <f aca="false">IFERROR(VLOOKUP($I106,'Institution Evaluation'!$A$55:$F$346,4,0),IFERROR(VLOOKUP($I106,'Privacy Analyst Evaluation'!$A$46:$F$120,4,0),""))&amp;""</f>
        <v/>
      </c>
      <c r="M106" s="242" t="str">
        <f aca="false">IFERROR(VLOOKUP($I106,'Institution Evaluation'!$A$55:$F$346,6,0),IFERROR(VLOOKUP($I106,'Privacy Analyst Evaluation'!$A$46:$F$120,6,0),""))&amp;""</f>
        <v/>
      </c>
    </row>
    <row r="107" customFormat="false" ht="50.7" hidden="false" customHeight="false" outlineLevel="0" collapsed="false">
      <c r="A107" s="242" t="n">
        <f aca="false">IFERROR(IF($A106+1&gt;'(backend scoring)'!$T$335,"",$A106+1),"")</f>
        <v>83</v>
      </c>
      <c r="B107" s="242" t="str">
        <f aca="false">_xlfn.XLOOKUP($A107,'(backend scoring)'!$V$2:$V$333,'(backend scoring)'!$A$2:$A$333,"")</f>
        <v>AIML-01</v>
      </c>
      <c r="C107" s="242" t="str">
        <f aca="false">IFERROR(VLOOKUP($B107,'Institution Evaluation'!$A$55:$F$346,2,0),IFERROR(VLOOKUP($B107,'Privacy Analyst Evaluation'!$A$46:$F$120,2,0),""))&amp;""</f>
        <v>Do you separate ML training data from your ML solution data?*</v>
      </c>
      <c r="D107" s="242" t="str">
        <f aca="false">IFERROR(VLOOKUP($B107,'Institution Evaluation'!$A$55:$F$346,3,0),IFERROR(VLOOKUP($B107,'Privacy Analyst Evaluation'!$A$46:$F$120,3,0),""))&amp;""</f>
        <v/>
      </c>
      <c r="E107" s="242" t="str">
        <f aca="false">IFERROR(VLOOKUP($B107,'Institution Evaluation'!$A$55:$F$346,4,0),IFERROR(VLOOKUP($B107,'Privacy Analyst Evaluation'!$A$46:$F$120,4,0),""))&amp;""</f>
        <v>This question does not apply.</v>
      </c>
      <c r="F107" s="242" t="str">
        <f aca="false">IFERROR(VLOOKUP($B107,'Institution Evaluation'!$A$55:$F$346,6,0),IFERROR(VLOOKUP($B107,'Privacy Analyst Evaluation'!$A$46:$F$120,6,0),""))&amp;""</f>
        <v/>
      </c>
      <c r="G107" s="243"/>
      <c r="H107" s="242" t="str">
        <f aca="false">IFERROR(IF($H106+1&gt;'(backend scoring)'!$Q$335,"",$H106+1),"")</f>
        <v/>
      </c>
      <c r="I107" s="242" t="str">
        <f aca="false">_xlfn.XLOOKUP($H107,'(backend scoring)'!$S$2:$S$333,'(backend scoring)'!$A$2:$A$333,"")</f>
        <v/>
      </c>
      <c r="J107" s="242" t="str">
        <f aca="false">IFERROR(VLOOKUP($I107,'Institution Evaluation'!$A$55:$F$346,2,0),IFERROR(VLOOKUP($I107,'Privacy Analyst Evaluation'!$A$46:$F$120,2,0),""))</f>
        <v/>
      </c>
      <c r="K107" s="242" t="str">
        <f aca="false">IFERROR(VLOOKUP($I107,'Institution Evaluation'!$A$55:$F$346,3,0),IFERROR(VLOOKUP($I107,'Privacy Analyst Evaluation'!$A$46:$F$120,3,0),""))&amp;""</f>
        <v/>
      </c>
      <c r="L107" s="242" t="str">
        <f aca="false">IFERROR(VLOOKUP($I107,'Institution Evaluation'!$A$55:$F$346,4,0),IFERROR(VLOOKUP($I107,'Privacy Analyst Evaluation'!$A$46:$F$120,4,0),""))&amp;""</f>
        <v/>
      </c>
      <c r="M107" s="242" t="str">
        <f aca="false">IFERROR(VLOOKUP($I107,'Institution Evaluation'!$A$55:$F$346,6,0),IFERROR(VLOOKUP($I107,'Privacy Analyst Evaluation'!$A$46:$F$120,6,0),""))&amp;""</f>
        <v/>
      </c>
    </row>
    <row r="108" customFormat="false" ht="34.3" hidden="false" customHeight="false" outlineLevel="0" collapsed="false">
      <c r="A108" s="242" t="n">
        <f aca="false">IFERROR(IF($A107+1&gt;'(backend scoring)'!$T$335,"",$A107+1),"")</f>
        <v>84</v>
      </c>
      <c r="B108" s="242" t="str">
        <f aca="false">_xlfn.XLOOKUP($A108,'(backend scoring)'!$V$2:$V$333,'(backend scoring)'!$A$2:$A$333,"")</f>
        <v>AIML-02</v>
      </c>
      <c r="C108" s="242" t="str">
        <f aca="false">IFERROR(VLOOKUP($B108,'Institution Evaluation'!$A$55:$F$346,2,0),IFERROR(VLOOKUP($B108,'Privacy Analyst Evaluation'!$A$46:$F$120,2,0),""))&amp;""</f>
        <v>Do you authenticate and verify your ML model's feedback?*</v>
      </c>
      <c r="D108" s="242" t="str">
        <f aca="false">IFERROR(VLOOKUP($B108,'Institution Evaluation'!$A$55:$F$346,3,0),IFERROR(VLOOKUP($B108,'Privacy Analyst Evaluation'!$A$46:$F$120,3,0),""))&amp;""</f>
        <v/>
      </c>
      <c r="E108" s="242" t="str">
        <f aca="false">IFERROR(VLOOKUP($B108,'Institution Evaluation'!$A$55:$F$346,4,0),IFERROR(VLOOKUP($B108,'Privacy Analyst Evaluation'!$A$46:$F$120,4,0),""))&amp;""</f>
        <v>This question does not apply.</v>
      </c>
      <c r="F108" s="242" t="str">
        <f aca="false">IFERROR(VLOOKUP($B108,'Institution Evaluation'!$A$55:$F$346,6,0),IFERROR(VLOOKUP($B108,'Privacy Analyst Evaluation'!$A$46:$F$120,6,0),""))&amp;""</f>
        <v/>
      </c>
      <c r="G108" s="243"/>
      <c r="H108" s="242" t="str">
        <f aca="false">IFERROR(IF($H107+1&gt;'(backend scoring)'!$Q$335,"",$H107+1),"")</f>
        <v/>
      </c>
      <c r="I108" s="242" t="str">
        <f aca="false">_xlfn.XLOOKUP($H108,'(backend scoring)'!$S$2:$S$333,'(backend scoring)'!$A$2:$A$333,"")</f>
        <v/>
      </c>
      <c r="J108" s="242" t="str">
        <f aca="false">IFERROR(VLOOKUP($I108,'Institution Evaluation'!$A$55:$F$346,2,0),IFERROR(VLOOKUP($I108,'Privacy Analyst Evaluation'!$A$46:$F$120,2,0),""))</f>
        <v/>
      </c>
      <c r="K108" s="242" t="str">
        <f aca="false">IFERROR(VLOOKUP($I108,'Institution Evaluation'!$A$55:$F$346,3,0),IFERROR(VLOOKUP($I108,'Privacy Analyst Evaluation'!$A$46:$F$120,3,0),""))&amp;""</f>
        <v/>
      </c>
      <c r="L108" s="242" t="str">
        <f aca="false">IFERROR(VLOOKUP($I108,'Institution Evaluation'!$A$55:$F$346,4,0),IFERROR(VLOOKUP($I108,'Privacy Analyst Evaluation'!$A$46:$F$120,4,0),""))&amp;""</f>
        <v/>
      </c>
      <c r="M108" s="242" t="str">
        <f aca="false">IFERROR(VLOOKUP($I108,'Institution Evaluation'!$A$55:$F$346,6,0),IFERROR(VLOOKUP($I108,'Privacy Analyst Evaluation'!$A$46:$F$120,6,0),""))&amp;""</f>
        <v/>
      </c>
    </row>
    <row r="109" customFormat="false" ht="34.3" hidden="false" customHeight="false" outlineLevel="0" collapsed="false">
      <c r="A109" s="242" t="n">
        <f aca="false">IFERROR(IF($A108+1&gt;'(backend scoring)'!$T$335,"",$A108+1),"")</f>
        <v>85</v>
      </c>
      <c r="B109" s="242" t="str">
        <f aca="false">_xlfn.XLOOKUP($A109,'(backend scoring)'!$V$2:$V$333,'(backend scoring)'!$A$2:$A$333,"")</f>
        <v>AILM-01</v>
      </c>
      <c r="C109" s="242" t="str">
        <f aca="false">IFERROR(VLOOKUP($B109,'Institution Evaluation'!$A$55:$F$346,2,0),IFERROR(VLOOKUP($B109,'Privacy Analyst Evaluation'!$A$46:$F$120,2,0),""))&amp;""</f>
        <v>Do you limit your solution's LLM privileges by default?*</v>
      </c>
      <c r="D109" s="242" t="str">
        <f aca="false">IFERROR(VLOOKUP($B109,'Institution Evaluation'!$A$55:$F$346,3,0),IFERROR(VLOOKUP($B109,'Privacy Analyst Evaluation'!$A$46:$F$120,3,0),""))&amp;""</f>
        <v/>
      </c>
      <c r="E109" s="242" t="str">
        <f aca="false">IFERROR(VLOOKUP($B109,'Institution Evaluation'!$A$55:$F$346,4,0),IFERROR(VLOOKUP($B109,'Privacy Analyst Evaluation'!$A$46:$F$120,4,0),""))&amp;""</f>
        <v>This question does not apply.</v>
      </c>
      <c r="F109" s="242" t="str">
        <f aca="false">IFERROR(VLOOKUP($B109,'Institution Evaluation'!$A$55:$F$346,6,0),IFERROR(VLOOKUP($B109,'Privacy Analyst Evaluation'!$A$46:$F$120,6,0),""))&amp;""</f>
        <v/>
      </c>
      <c r="G109" s="243"/>
      <c r="H109" s="242" t="str">
        <f aca="false">IFERROR(IF($H108+1&gt;'(backend scoring)'!$Q$335,"",$H108+1),"")</f>
        <v/>
      </c>
      <c r="I109" s="242" t="str">
        <f aca="false">_xlfn.XLOOKUP($H109,'(backend scoring)'!$S$2:$S$333,'(backend scoring)'!$A$2:$A$333,"")</f>
        <v/>
      </c>
      <c r="J109" s="242" t="str">
        <f aca="false">IFERROR(VLOOKUP($I109,'Institution Evaluation'!$A$55:$F$346,2,0),IFERROR(VLOOKUP($I109,'Privacy Analyst Evaluation'!$A$46:$F$120,2,0),""))</f>
        <v/>
      </c>
      <c r="K109" s="242" t="str">
        <f aca="false">IFERROR(VLOOKUP($I109,'Institution Evaluation'!$A$55:$F$346,3,0),IFERROR(VLOOKUP($I109,'Privacy Analyst Evaluation'!$A$46:$F$120,3,0),""))&amp;""</f>
        <v/>
      </c>
      <c r="L109" s="242" t="str">
        <f aca="false">IFERROR(VLOOKUP($I109,'Institution Evaluation'!$A$55:$F$346,4,0),IFERROR(VLOOKUP($I109,'Privacy Analyst Evaluation'!$A$46:$F$120,4,0),""))&amp;""</f>
        <v/>
      </c>
      <c r="M109" s="242" t="str">
        <f aca="false">IFERROR(VLOOKUP($I109,'Institution Evaluation'!$A$55:$F$346,6,0),IFERROR(VLOOKUP($I109,'Privacy Analyst Evaluation'!$A$46:$F$120,6,0),""))&amp;""</f>
        <v/>
      </c>
    </row>
    <row r="110" customFormat="false" ht="67.15" hidden="false" customHeight="false" outlineLevel="0" collapsed="false">
      <c r="A110" s="242" t="n">
        <f aca="false">IFERROR(IF($A109+1&gt;'(backend scoring)'!$T$335,"",$A109+1),"")</f>
        <v>86</v>
      </c>
      <c r="B110" s="242" t="str">
        <f aca="false">_xlfn.XLOOKUP($A110,'(backend scoring)'!$V$2:$V$333,'(backend scoring)'!$A$2:$A$333,"")</f>
        <v>AILM-02</v>
      </c>
      <c r="C110" s="242" t="str">
        <f aca="false">IFERROR(VLOOKUP($B110,'Institution Evaluation'!$A$55:$F$346,2,0),IFERROR(VLOOKUP($B110,'Privacy Analyst Evaluation'!$A$46:$F$120,2,0),""))&amp;""</f>
        <v>Is your LLM training data vetted, validated, and verified before training the solution's AI model?*</v>
      </c>
      <c r="D110" s="242" t="str">
        <f aca="false">IFERROR(VLOOKUP($B110,'Institution Evaluation'!$A$55:$F$346,3,0),IFERROR(VLOOKUP($B110,'Privacy Analyst Evaluation'!$A$46:$F$120,3,0),""))&amp;""</f>
        <v/>
      </c>
      <c r="E110" s="242" t="str">
        <f aca="false">IFERROR(VLOOKUP($B110,'Institution Evaluation'!$A$55:$F$346,4,0),IFERROR(VLOOKUP($B110,'Privacy Analyst Evaluation'!$A$46:$F$120,4,0),""))&amp;""</f>
        <v>This question does not apply.</v>
      </c>
      <c r="F110" s="242" t="str">
        <f aca="false">IFERROR(VLOOKUP($B110,'Institution Evaluation'!$A$55:$F$346,6,0),IFERROR(VLOOKUP($B110,'Privacy Analyst Evaluation'!$A$46:$F$120,6,0),""))&amp;""</f>
        <v/>
      </c>
      <c r="G110" s="243"/>
      <c r="H110" s="242" t="str">
        <f aca="false">IFERROR(IF($H109+1&gt;'(backend scoring)'!$Q$335,"",$H109+1),"")</f>
        <v/>
      </c>
      <c r="I110" s="242" t="str">
        <f aca="false">_xlfn.XLOOKUP($H110,'(backend scoring)'!$S$2:$S$333,'(backend scoring)'!$A$2:$A$333,"")</f>
        <v/>
      </c>
      <c r="J110" s="242" t="str">
        <f aca="false">IFERROR(VLOOKUP($I110,'Institution Evaluation'!$A$55:$F$346,2,0),IFERROR(VLOOKUP($I110,'Privacy Analyst Evaluation'!$A$46:$F$120,2,0),""))</f>
        <v/>
      </c>
      <c r="K110" s="242" t="str">
        <f aca="false">IFERROR(VLOOKUP($I110,'Institution Evaluation'!$A$55:$F$346,3,0),IFERROR(VLOOKUP($I110,'Privacy Analyst Evaluation'!$A$46:$F$120,3,0),""))&amp;""</f>
        <v/>
      </c>
      <c r="L110" s="242" t="str">
        <f aca="false">IFERROR(VLOOKUP($I110,'Institution Evaluation'!$A$55:$F$346,4,0),IFERROR(VLOOKUP($I110,'Privacy Analyst Evaluation'!$A$46:$F$120,4,0),""))&amp;""</f>
        <v/>
      </c>
      <c r="M110" s="242" t="str">
        <f aca="false">IFERROR(VLOOKUP($I110,'Institution Evaluation'!$A$55:$F$346,6,0),IFERROR(VLOOKUP($I110,'Privacy Analyst Evaluation'!$A$46:$F$120,6,0),""))&amp;""</f>
        <v/>
      </c>
    </row>
    <row r="111" customFormat="false" ht="67.15" hidden="false" customHeight="false" outlineLevel="0" collapsed="false">
      <c r="A111" s="242" t="n">
        <f aca="false">IFERROR(IF($A110+1&gt;'(backend scoring)'!$T$335,"",$A110+1),"")</f>
        <v>87</v>
      </c>
      <c r="B111" s="242" t="str">
        <f aca="false">_xlfn.XLOOKUP($A111,'(backend scoring)'!$V$2:$V$333,'(backend scoring)'!$A$2:$A$333,"")</f>
        <v>AILM-03</v>
      </c>
      <c r="C111" s="242" t="str">
        <f aca="false">IFERROR(VLOOKUP($B111,'Institution Evaluation'!$A$55:$F$346,2,0),IFERROR(VLOOKUP($B111,'Privacy Analyst Evaluation'!$A$46:$F$120,2,0),""))&amp;""</f>
        <v>Do any actions taken by your solution's LLM features or plugins require human intervention?*</v>
      </c>
      <c r="D111" s="242" t="str">
        <f aca="false">IFERROR(VLOOKUP($B111,'Institution Evaluation'!$A$55:$F$346,3,0),IFERROR(VLOOKUP($B111,'Privacy Analyst Evaluation'!$A$46:$F$120,3,0),""))&amp;""</f>
        <v/>
      </c>
      <c r="E111" s="242" t="str">
        <f aca="false">IFERROR(VLOOKUP($B111,'Institution Evaluation'!$A$55:$F$346,4,0),IFERROR(VLOOKUP($B111,'Privacy Analyst Evaluation'!$A$46:$F$120,4,0),""))&amp;""</f>
        <v>This question does not apply.</v>
      </c>
      <c r="F111" s="242" t="str">
        <f aca="false">IFERROR(VLOOKUP($B111,'Institution Evaluation'!$A$55:$F$346,6,0),IFERROR(VLOOKUP($B111,'Privacy Analyst Evaluation'!$A$46:$F$120,6,0),""))&amp;""</f>
        <v/>
      </c>
      <c r="G111" s="243"/>
      <c r="H111" s="242" t="str">
        <f aca="false">IFERROR(IF($H110+1&gt;'(backend scoring)'!$Q$335,"",$H110+1),"")</f>
        <v/>
      </c>
      <c r="I111" s="242" t="str">
        <f aca="false">_xlfn.XLOOKUP($H111,'(backend scoring)'!$S$2:$S$333,'(backend scoring)'!$A$2:$A$333,"")</f>
        <v/>
      </c>
      <c r="J111" s="242" t="str">
        <f aca="false">IFERROR(VLOOKUP($I111,'Institution Evaluation'!$A$55:$F$346,2,0),IFERROR(VLOOKUP($I111,'Privacy Analyst Evaluation'!$A$46:$F$120,2,0),""))</f>
        <v/>
      </c>
      <c r="K111" s="242" t="str">
        <f aca="false">IFERROR(VLOOKUP($I111,'Institution Evaluation'!$A$55:$F$346,3,0),IFERROR(VLOOKUP($I111,'Privacy Analyst Evaluation'!$A$46:$F$120,3,0),""))&amp;""</f>
        <v/>
      </c>
      <c r="L111" s="242" t="str">
        <f aca="false">IFERROR(VLOOKUP($I111,'Institution Evaluation'!$A$55:$F$346,4,0),IFERROR(VLOOKUP($I111,'Privacy Analyst Evaluation'!$A$46:$F$120,4,0),""))&amp;""</f>
        <v/>
      </c>
      <c r="M111" s="242" t="str">
        <f aca="false">IFERROR(VLOOKUP($I111,'Institution Evaluation'!$A$55:$F$346,6,0),IFERROR(VLOOKUP($I111,'Privacy Analyst Evaluation'!$A$46:$F$120,6,0),""))&amp;""</f>
        <v/>
      </c>
    </row>
    <row r="112" customFormat="false" ht="50.7" hidden="false" customHeight="false" outlineLevel="0" collapsed="false">
      <c r="A112" s="242" t="n">
        <f aca="false">IFERROR(IF($A111+1&gt;'(backend scoring)'!$T$335,"",$A111+1),"")</f>
        <v>88</v>
      </c>
      <c r="B112" s="242" t="str">
        <f aca="false">_xlfn.XLOOKUP($A112,'(backend scoring)'!$V$2:$V$333,'(backend scoring)'!$A$2:$A$333,"")</f>
        <v>AILM-04</v>
      </c>
      <c r="C112" s="242" t="str">
        <f aca="false">IFERROR(VLOOKUP($B112,'Institution Evaluation'!$A$55:$F$346,2,0),IFERROR(VLOOKUP($B112,'Privacy Analyst Evaluation'!$A$46:$F$120,2,0),""))&amp;""</f>
        <v>Do you limit multiple LLM model plugins being called as part of a single input?*</v>
      </c>
      <c r="D112" s="242" t="str">
        <f aca="false">IFERROR(VLOOKUP($B112,'Institution Evaluation'!$A$55:$F$346,3,0),IFERROR(VLOOKUP($B112,'Privacy Analyst Evaluation'!$A$46:$F$120,3,0),""))&amp;""</f>
        <v/>
      </c>
      <c r="E112" s="242" t="str">
        <f aca="false">IFERROR(VLOOKUP($B112,'Institution Evaluation'!$A$55:$F$346,4,0),IFERROR(VLOOKUP($B112,'Privacy Analyst Evaluation'!$A$46:$F$120,4,0),""))&amp;""</f>
        <v>This question does not apply.</v>
      </c>
      <c r="F112" s="242" t="str">
        <f aca="false">IFERROR(VLOOKUP($B112,'Institution Evaluation'!$A$55:$F$346,6,0),IFERROR(VLOOKUP($B112,'Privacy Analyst Evaluation'!$A$46:$F$120,6,0),""))&amp;""</f>
        <v/>
      </c>
      <c r="G112" s="243"/>
      <c r="H112" s="242" t="str">
        <f aca="false">IFERROR(IF($H111+1&gt;'(backend scoring)'!$Q$335,"",$H111+1),"")</f>
        <v/>
      </c>
      <c r="I112" s="242" t="str">
        <f aca="false">_xlfn.XLOOKUP($H112,'(backend scoring)'!$S$2:$S$333,'(backend scoring)'!$A$2:$A$333,"")</f>
        <v/>
      </c>
      <c r="J112" s="242" t="str">
        <f aca="false">IFERROR(VLOOKUP($I112,'Institution Evaluation'!$A$55:$F$346,2,0),IFERROR(VLOOKUP($I112,'Privacy Analyst Evaluation'!$A$46:$F$120,2,0),""))</f>
        <v/>
      </c>
      <c r="K112" s="242" t="str">
        <f aca="false">IFERROR(VLOOKUP($I112,'Institution Evaluation'!$A$55:$F$346,3,0),IFERROR(VLOOKUP($I112,'Privacy Analyst Evaluation'!$A$46:$F$120,3,0),""))&amp;""</f>
        <v/>
      </c>
      <c r="L112" s="242" t="str">
        <f aca="false">IFERROR(VLOOKUP($I112,'Institution Evaluation'!$A$55:$F$346,4,0),IFERROR(VLOOKUP($I112,'Privacy Analyst Evaluation'!$A$46:$F$120,4,0),""))&amp;""</f>
        <v/>
      </c>
      <c r="M112" s="242" t="str">
        <f aca="false">IFERROR(VLOOKUP($I112,'Institution Evaluation'!$A$55:$F$346,6,0),IFERROR(VLOOKUP($I112,'Privacy Analyst Evaluation'!$A$46:$F$120,6,0),""))&amp;""</f>
        <v/>
      </c>
    </row>
    <row r="113" customFormat="false" ht="15" hidden="false" customHeight="false" outlineLevel="0" collapsed="false">
      <c r="A113" s="242" t="str">
        <f aca="false">IFERROR(IF($A112+1&gt;'(backend scoring)'!$T$335,"",$A112+1),"")</f>
        <v/>
      </c>
      <c r="B113" s="242" t="str">
        <f aca="false">_xlfn.XLOOKUP($A113,'(backend scoring)'!$V$2:$V$333,'(backend scoring)'!$A$2:$A$333,"")</f>
        <v/>
      </c>
      <c r="C113" s="242" t="str">
        <f aca="false">IFERROR(VLOOKUP($B113,'Institution Evaluation'!$A$55:$F$346,2,0),IFERROR(VLOOKUP($B113,'Privacy Analyst Evaluation'!$A$46:$F$120,2,0),""))&amp;""</f>
        <v/>
      </c>
      <c r="D113" s="242" t="str">
        <f aca="false">IFERROR(VLOOKUP($B113,'Institution Evaluation'!$A$55:$F$346,3,0),IFERROR(VLOOKUP($B113,'Privacy Analyst Evaluation'!$A$46:$F$120,3,0),""))&amp;""</f>
        <v/>
      </c>
      <c r="E113" s="242" t="str">
        <f aca="false">IFERROR(VLOOKUP($B113,'Institution Evaluation'!$A$55:$F$346,4,0),IFERROR(VLOOKUP($B113,'Privacy Analyst Evaluation'!$A$46:$F$120,4,0),""))&amp;""</f>
        <v/>
      </c>
      <c r="F113" s="242" t="str">
        <f aca="false">IFERROR(VLOOKUP($B113,'Institution Evaluation'!$A$55:$F$346,6,0),IFERROR(VLOOKUP($B113,'Privacy Analyst Evaluation'!$A$46:$F$120,6,0),""))&amp;""</f>
        <v/>
      </c>
      <c r="G113" s="243"/>
      <c r="H113" s="242" t="str">
        <f aca="false">IFERROR(IF($H112+1&gt;'(backend scoring)'!$Q$335,"",$H112+1),"")</f>
        <v/>
      </c>
      <c r="I113" s="242" t="str">
        <f aca="false">_xlfn.XLOOKUP($H113,'(backend scoring)'!$S$2:$S$333,'(backend scoring)'!$A$2:$A$333,"")</f>
        <v/>
      </c>
      <c r="J113" s="242" t="str">
        <f aca="false">IFERROR(VLOOKUP($I113,'Institution Evaluation'!$A$55:$F$346,2,0),IFERROR(VLOOKUP($I113,'Privacy Analyst Evaluation'!$A$46:$F$120,2,0),""))</f>
        <v/>
      </c>
      <c r="K113" s="242" t="str">
        <f aca="false">IFERROR(VLOOKUP($I113,'Institution Evaluation'!$A$55:$F$346,3,0),IFERROR(VLOOKUP($I113,'Privacy Analyst Evaluation'!$A$46:$F$120,3,0),""))&amp;""</f>
        <v/>
      </c>
      <c r="L113" s="242" t="str">
        <f aca="false">IFERROR(VLOOKUP($I113,'Institution Evaluation'!$A$55:$F$346,4,0),IFERROR(VLOOKUP($I113,'Privacy Analyst Evaluation'!$A$46:$F$120,4,0),""))&amp;""</f>
        <v/>
      </c>
      <c r="M113" s="242" t="str">
        <f aca="false">IFERROR(VLOOKUP($I113,'Institution Evaluation'!$A$55:$F$346,6,0),IFERROR(VLOOKUP($I113,'Privacy Analyst Evaluation'!$A$46:$F$120,6,0),""))&amp;""</f>
        <v/>
      </c>
    </row>
    <row r="114" customFormat="false" ht="15" hidden="false" customHeight="false" outlineLevel="0" collapsed="false">
      <c r="A114" s="242" t="str">
        <f aca="false">IFERROR(IF($A113+1&gt;'(backend scoring)'!$T$335,"",$A113+1),"")</f>
        <v/>
      </c>
      <c r="B114" s="242" t="str">
        <f aca="false">_xlfn.XLOOKUP($A114,'(backend scoring)'!$V$2:$V$333,'(backend scoring)'!$A$2:$A$333,"")</f>
        <v/>
      </c>
      <c r="C114" s="242" t="str">
        <f aca="false">IFERROR(VLOOKUP($B114,'Institution Evaluation'!$A$55:$F$346,2,0),IFERROR(VLOOKUP($B114,'Privacy Analyst Evaluation'!$A$46:$F$120,2,0),""))&amp;""</f>
        <v/>
      </c>
      <c r="D114" s="242" t="str">
        <f aca="false">IFERROR(VLOOKUP($B114,'Institution Evaluation'!$A$55:$F$346,3,0),IFERROR(VLOOKUP($B114,'Privacy Analyst Evaluation'!$A$46:$F$120,3,0),""))&amp;""</f>
        <v/>
      </c>
      <c r="E114" s="242" t="str">
        <f aca="false">IFERROR(VLOOKUP($B114,'Institution Evaluation'!$A$55:$F$346,4,0),IFERROR(VLOOKUP($B114,'Privacy Analyst Evaluation'!$A$46:$F$120,4,0),""))&amp;""</f>
        <v/>
      </c>
      <c r="F114" s="242" t="str">
        <f aca="false">IFERROR(VLOOKUP($B114,'Institution Evaluation'!$A$55:$F$346,6,0),IFERROR(VLOOKUP($B114,'Privacy Analyst Evaluation'!$A$46:$F$120,6,0),""))&amp;""</f>
        <v/>
      </c>
      <c r="G114" s="243"/>
      <c r="H114" s="242" t="str">
        <f aca="false">IFERROR(IF($H113+1&gt;'(backend scoring)'!$Q$335,"",$H113+1),"")</f>
        <v/>
      </c>
      <c r="I114" s="242" t="str">
        <f aca="false">_xlfn.XLOOKUP($H114,'(backend scoring)'!$S$2:$S$333,'(backend scoring)'!$A$2:$A$333,"")</f>
        <v/>
      </c>
      <c r="J114" s="242" t="str">
        <f aca="false">IFERROR(VLOOKUP($I114,'Institution Evaluation'!$A$55:$F$346,2,0),IFERROR(VLOOKUP($I114,'Privacy Analyst Evaluation'!$A$46:$F$120,2,0),""))</f>
        <v/>
      </c>
      <c r="K114" s="242" t="str">
        <f aca="false">IFERROR(VLOOKUP($I114,'Institution Evaluation'!$A$55:$F$346,3,0),IFERROR(VLOOKUP($I114,'Privacy Analyst Evaluation'!$A$46:$F$120,3,0),""))&amp;""</f>
        <v/>
      </c>
      <c r="L114" s="242" t="str">
        <f aca="false">IFERROR(VLOOKUP($I114,'Institution Evaluation'!$A$55:$F$346,4,0),IFERROR(VLOOKUP($I114,'Privacy Analyst Evaluation'!$A$46:$F$120,4,0),""))&amp;""</f>
        <v/>
      </c>
      <c r="M114" s="242" t="str">
        <f aca="false">IFERROR(VLOOKUP($I114,'Institution Evaluation'!$A$55:$F$346,6,0),IFERROR(VLOOKUP($I114,'Privacy Analyst Evaluation'!$A$46:$F$120,6,0),""))&amp;""</f>
        <v/>
      </c>
    </row>
    <row r="115" customFormat="false" ht="15" hidden="false" customHeight="false" outlineLevel="0" collapsed="false">
      <c r="A115" s="242" t="str">
        <f aca="false">IFERROR(IF($A114+1&gt;'(backend scoring)'!$T$335,"",$A114+1),"")</f>
        <v/>
      </c>
      <c r="B115" s="242" t="str">
        <f aca="false">_xlfn.XLOOKUP($A115,'(backend scoring)'!$V$2:$V$333,'(backend scoring)'!$A$2:$A$333,"")</f>
        <v/>
      </c>
      <c r="C115" s="242" t="str">
        <f aca="false">IFERROR(VLOOKUP($B115,'Institution Evaluation'!$A$55:$F$346,2,0),IFERROR(VLOOKUP($B115,'Privacy Analyst Evaluation'!$A$46:$F$120,2,0),""))&amp;""</f>
        <v/>
      </c>
      <c r="D115" s="242" t="str">
        <f aca="false">IFERROR(VLOOKUP($B115,'Institution Evaluation'!$A$55:$F$346,3,0),IFERROR(VLOOKUP($B115,'Privacy Analyst Evaluation'!$A$46:$F$120,3,0),""))&amp;""</f>
        <v/>
      </c>
      <c r="E115" s="242" t="str">
        <f aca="false">IFERROR(VLOOKUP($B115,'Institution Evaluation'!$A$55:$F$346,4,0),IFERROR(VLOOKUP($B115,'Privacy Analyst Evaluation'!$A$46:$F$120,4,0),""))&amp;""</f>
        <v/>
      </c>
      <c r="F115" s="242" t="str">
        <f aca="false">IFERROR(VLOOKUP($B115,'Institution Evaluation'!$A$55:$F$346,6,0),IFERROR(VLOOKUP($B115,'Privacy Analyst Evaluation'!$A$46:$F$120,6,0),""))&amp;""</f>
        <v/>
      </c>
      <c r="G115" s="243"/>
      <c r="H115" s="242" t="str">
        <f aca="false">IFERROR(IF($H114+1&gt;'(backend scoring)'!$Q$335,"",$H114+1),"")</f>
        <v/>
      </c>
      <c r="I115" s="242" t="str">
        <f aca="false">_xlfn.XLOOKUP($H115,'(backend scoring)'!$S$2:$S$333,'(backend scoring)'!$A$2:$A$333,"")</f>
        <v/>
      </c>
      <c r="J115" s="242" t="str">
        <f aca="false">IFERROR(VLOOKUP($I115,'Institution Evaluation'!$A$55:$F$346,2,0),IFERROR(VLOOKUP($I115,'Privacy Analyst Evaluation'!$A$46:$F$120,2,0),""))</f>
        <v/>
      </c>
      <c r="K115" s="242" t="str">
        <f aca="false">IFERROR(VLOOKUP($I115,'Institution Evaluation'!$A$55:$F$346,3,0),IFERROR(VLOOKUP($I115,'Privacy Analyst Evaluation'!$A$46:$F$120,3,0),""))&amp;""</f>
        <v/>
      </c>
      <c r="L115" s="242" t="str">
        <f aca="false">IFERROR(VLOOKUP($I115,'Institution Evaluation'!$A$55:$F$346,4,0),IFERROR(VLOOKUP($I115,'Privacy Analyst Evaluation'!$A$46:$F$120,4,0),""))&amp;""</f>
        <v/>
      </c>
      <c r="M115" s="242" t="str">
        <f aca="false">IFERROR(VLOOKUP($I115,'Institution Evaluation'!$A$55:$F$346,6,0),IFERROR(VLOOKUP($I115,'Privacy Analyst Evaluation'!$A$46:$F$120,6,0),""))&amp;""</f>
        <v/>
      </c>
    </row>
    <row r="116" customFormat="false" ht="15" hidden="false" customHeight="false" outlineLevel="0" collapsed="false">
      <c r="A116" s="242" t="str">
        <f aca="false">IFERROR(IF($A115+1&gt;'(backend scoring)'!$T$335,"",$A115+1),"")</f>
        <v/>
      </c>
      <c r="B116" s="242" t="str">
        <f aca="false">_xlfn.XLOOKUP($A116,'(backend scoring)'!$V$2:$V$333,'(backend scoring)'!$A$2:$A$333,"")</f>
        <v/>
      </c>
      <c r="C116" s="242" t="str">
        <f aca="false">IFERROR(VLOOKUP($B116,'Institution Evaluation'!$A$55:$F$346,2,0),IFERROR(VLOOKUP($B116,'Privacy Analyst Evaluation'!$A$46:$F$120,2,0),""))&amp;""</f>
        <v/>
      </c>
      <c r="D116" s="242" t="str">
        <f aca="false">IFERROR(VLOOKUP($B116,'Institution Evaluation'!$A$55:$F$346,3,0),IFERROR(VLOOKUP($B116,'Privacy Analyst Evaluation'!$A$46:$F$120,3,0),""))&amp;""</f>
        <v/>
      </c>
      <c r="E116" s="242" t="str">
        <f aca="false">IFERROR(VLOOKUP($B116,'Institution Evaluation'!$A$55:$F$346,4,0),IFERROR(VLOOKUP($B116,'Privacy Analyst Evaluation'!$A$46:$F$120,4,0),""))&amp;""</f>
        <v/>
      </c>
      <c r="F116" s="242" t="str">
        <f aca="false">IFERROR(VLOOKUP($B116,'Institution Evaluation'!$A$55:$F$346,6,0),IFERROR(VLOOKUP($B116,'Privacy Analyst Evaluation'!$A$46:$F$120,6,0),""))&amp;""</f>
        <v/>
      </c>
      <c r="G116" s="243"/>
      <c r="H116" s="242" t="str">
        <f aca="false">IFERROR(IF($H115+1&gt;'(backend scoring)'!$Q$335,"",$H115+1),"")</f>
        <v/>
      </c>
      <c r="I116" s="242" t="str">
        <f aca="false">_xlfn.XLOOKUP($H116,'(backend scoring)'!$S$2:$S$333,'(backend scoring)'!$A$2:$A$333,"")</f>
        <v/>
      </c>
      <c r="J116" s="242" t="str">
        <f aca="false">IFERROR(VLOOKUP($I116,'Institution Evaluation'!$A$55:$F$346,2,0),IFERROR(VLOOKUP($I116,'Privacy Analyst Evaluation'!$A$46:$F$120,2,0),""))</f>
        <v/>
      </c>
      <c r="K116" s="242" t="str">
        <f aca="false">IFERROR(VLOOKUP($I116,'Institution Evaluation'!$A$55:$F$346,3,0),IFERROR(VLOOKUP($I116,'Privacy Analyst Evaluation'!$A$46:$F$120,3,0),""))&amp;""</f>
        <v/>
      </c>
      <c r="L116" s="242" t="str">
        <f aca="false">IFERROR(VLOOKUP($I116,'Institution Evaluation'!$A$55:$F$346,4,0),IFERROR(VLOOKUP($I116,'Privacy Analyst Evaluation'!$A$46:$F$120,4,0),""))&amp;""</f>
        <v/>
      </c>
      <c r="M116" s="242" t="str">
        <f aca="false">IFERROR(VLOOKUP($I116,'Institution Evaluation'!$A$55:$F$346,6,0),IFERROR(VLOOKUP($I116,'Privacy Analyst Evaluation'!$A$46:$F$120,6,0),""))&amp;""</f>
        <v/>
      </c>
    </row>
    <row r="117" customFormat="false" ht="15" hidden="false" customHeight="false" outlineLevel="0" collapsed="false">
      <c r="A117" s="242" t="str">
        <f aca="false">IFERROR(IF($A116+1&gt;'(backend scoring)'!$T$335,"",$A116+1),"")</f>
        <v/>
      </c>
      <c r="B117" s="242" t="str">
        <f aca="false">_xlfn.XLOOKUP($A117,'(backend scoring)'!$V$2:$V$333,'(backend scoring)'!$A$2:$A$333,"")</f>
        <v/>
      </c>
      <c r="C117" s="242" t="str">
        <f aca="false">IFERROR(VLOOKUP($B117,'Institution Evaluation'!$A$55:$F$346,2,0),IFERROR(VLOOKUP($B117,'Privacy Analyst Evaluation'!$A$46:$F$120,2,0),""))&amp;""</f>
        <v/>
      </c>
      <c r="D117" s="242" t="str">
        <f aca="false">IFERROR(VLOOKUP($B117,'Institution Evaluation'!$A$55:$F$346,3,0),IFERROR(VLOOKUP($B117,'Privacy Analyst Evaluation'!$A$46:$F$120,3,0),""))&amp;""</f>
        <v/>
      </c>
      <c r="E117" s="242" t="str">
        <f aca="false">IFERROR(VLOOKUP($B117,'Institution Evaluation'!$A$55:$F$346,4,0),IFERROR(VLOOKUP($B117,'Privacy Analyst Evaluation'!$A$46:$F$120,4,0),""))&amp;""</f>
        <v/>
      </c>
      <c r="F117" s="242" t="str">
        <f aca="false">IFERROR(VLOOKUP($B117,'Institution Evaluation'!$A$55:$F$346,6,0),IFERROR(VLOOKUP($B117,'Privacy Analyst Evaluation'!$A$46:$F$120,6,0),""))&amp;""</f>
        <v/>
      </c>
      <c r="G117" s="243"/>
      <c r="H117" s="242" t="str">
        <f aca="false">IFERROR(IF($H116+1&gt;'(backend scoring)'!$Q$335,"",$H116+1),"")</f>
        <v/>
      </c>
      <c r="I117" s="242" t="str">
        <f aca="false">_xlfn.XLOOKUP($H117,'(backend scoring)'!$S$2:$S$333,'(backend scoring)'!$A$2:$A$333,"")</f>
        <v/>
      </c>
      <c r="J117" s="242" t="str">
        <f aca="false">IFERROR(VLOOKUP($I117,'Institution Evaluation'!$A$55:$F$346,2,0),IFERROR(VLOOKUP($I117,'Privacy Analyst Evaluation'!$A$46:$F$120,2,0),""))</f>
        <v/>
      </c>
      <c r="K117" s="242" t="str">
        <f aca="false">IFERROR(VLOOKUP($I117,'Institution Evaluation'!$A$55:$F$346,3,0),IFERROR(VLOOKUP($I117,'Privacy Analyst Evaluation'!$A$46:$F$120,3,0),""))&amp;""</f>
        <v/>
      </c>
      <c r="L117" s="242" t="str">
        <f aca="false">IFERROR(VLOOKUP($I117,'Institution Evaluation'!$A$55:$F$346,4,0),IFERROR(VLOOKUP($I117,'Privacy Analyst Evaluation'!$A$46:$F$120,4,0),""))&amp;""</f>
        <v/>
      </c>
      <c r="M117" s="242" t="str">
        <f aca="false">IFERROR(VLOOKUP($I117,'Institution Evaluation'!$A$55:$F$346,6,0),IFERROR(VLOOKUP($I117,'Privacy Analyst Evaluation'!$A$46:$F$120,6,0),""))&amp;""</f>
        <v/>
      </c>
    </row>
    <row r="118" customFormat="false" ht="15" hidden="false" customHeight="false" outlineLevel="0" collapsed="false">
      <c r="A118" s="242" t="str">
        <f aca="false">IFERROR(IF($A117+1&gt;'(backend scoring)'!$T$335,"",$A117+1),"")</f>
        <v/>
      </c>
      <c r="B118" s="242" t="str">
        <f aca="false">_xlfn.XLOOKUP($A118,'(backend scoring)'!$V$2:$V$333,'(backend scoring)'!$A$2:$A$333,"")</f>
        <v/>
      </c>
      <c r="C118" s="242" t="str">
        <f aca="false">IFERROR(VLOOKUP($B118,'Institution Evaluation'!$A$55:$F$346,2,0),IFERROR(VLOOKUP($B118,'Privacy Analyst Evaluation'!$A$46:$F$120,2,0),""))&amp;""</f>
        <v/>
      </c>
      <c r="D118" s="242" t="str">
        <f aca="false">IFERROR(VLOOKUP($B118,'Institution Evaluation'!$A$55:$F$346,3,0),IFERROR(VLOOKUP($B118,'Privacy Analyst Evaluation'!$A$46:$F$120,3,0),""))&amp;""</f>
        <v/>
      </c>
      <c r="E118" s="242" t="str">
        <f aca="false">IFERROR(VLOOKUP($B118,'Institution Evaluation'!$A$55:$F$346,4,0),IFERROR(VLOOKUP($B118,'Privacy Analyst Evaluation'!$A$46:$F$120,4,0),""))&amp;""</f>
        <v/>
      </c>
      <c r="F118" s="242" t="str">
        <f aca="false">IFERROR(VLOOKUP($B118,'Institution Evaluation'!$A$55:$F$346,6,0),IFERROR(VLOOKUP($B118,'Privacy Analyst Evaluation'!$A$46:$F$120,6,0),""))&amp;""</f>
        <v/>
      </c>
      <c r="G118" s="243"/>
      <c r="H118" s="242" t="str">
        <f aca="false">IFERROR(IF($H117+1&gt;'(backend scoring)'!$Q$335,"",$H117+1),"")</f>
        <v/>
      </c>
      <c r="I118" s="242" t="str">
        <f aca="false">_xlfn.XLOOKUP($H118,'(backend scoring)'!$S$2:$S$333,'(backend scoring)'!$A$2:$A$333,"")</f>
        <v/>
      </c>
      <c r="J118" s="242" t="str">
        <f aca="false">IFERROR(VLOOKUP($I118,'Institution Evaluation'!$A$55:$F$346,2,0),IFERROR(VLOOKUP($I118,'Privacy Analyst Evaluation'!$A$46:$F$120,2,0),""))</f>
        <v/>
      </c>
      <c r="K118" s="242" t="str">
        <f aca="false">IFERROR(VLOOKUP($I118,'Institution Evaluation'!$A$55:$F$346,3,0),IFERROR(VLOOKUP($I118,'Privacy Analyst Evaluation'!$A$46:$F$120,3,0),""))&amp;""</f>
        <v/>
      </c>
      <c r="L118" s="242" t="str">
        <f aca="false">IFERROR(VLOOKUP($I118,'Institution Evaluation'!$A$55:$F$346,4,0),IFERROR(VLOOKUP($I118,'Privacy Analyst Evaluation'!$A$46:$F$120,4,0),""))&amp;""</f>
        <v/>
      </c>
      <c r="M118" s="242" t="str">
        <f aca="false">IFERROR(VLOOKUP($I118,'Institution Evaluation'!$A$55:$F$346,6,0),IFERROR(VLOOKUP($I118,'Privacy Analyst Evaluation'!$A$46:$F$120,6,0),""))&amp;""</f>
        <v/>
      </c>
    </row>
    <row r="119" customFormat="false" ht="15" hidden="false" customHeight="false" outlineLevel="0" collapsed="false">
      <c r="A119" s="242" t="str">
        <f aca="false">IFERROR(IF($A118+1&gt;'(backend scoring)'!$T$335,"",$A118+1),"")</f>
        <v/>
      </c>
      <c r="B119" s="242" t="str">
        <f aca="false">_xlfn.XLOOKUP($A119,'(backend scoring)'!$V$2:$V$333,'(backend scoring)'!$A$2:$A$333,"")</f>
        <v/>
      </c>
      <c r="C119" s="242" t="str">
        <f aca="false">IFERROR(VLOOKUP($B119,'Institution Evaluation'!$A$55:$F$346,2,0),IFERROR(VLOOKUP($B119,'Privacy Analyst Evaluation'!$A$46:$F$120,2,0),""))&amp;""</f>
        <v/>
      </c>
      <c r="D119" s="242" t="str">
        <f aca="false">IFERROR(VLOOKUP($B119,'Institution Evaluation'!$A$55:$F$346,3,0),IFERROR(VLOOKUP($B119,'Privacy Analyst Evaluation'!$A$46:$F$120,3,0),""))&amp;""</f>
        <v/>
      </c>
      <c r="E119" s="242" t="str">
        <f aca="false">IFERROR(VLOOKUP($B119,'Institution Evaluation'!$A$55:$F$346,4,0),IFERROR(VLOOKUP($B119,'Privacy Analyst Evaluation'!$A$46:$F$120,4,0),""))&amp;""</f>
        <v/>
      </c>
      <c r="F119" s="242" t="str">
        <f aca="false">IFERROR(VLOOKUP($B119,'Institution Evaluation'!$A$55:$F$346,6,0),IFERROR(VLOOKUP($B119,'Privacy Analyst Evaluation'!$A$46:$F$120,6,0),""))&amp;""</f>
        <v/>
      </c>
      <c r="G119" s="243"/>
      <c r="H119" s="242" t="str">
        <f aca="false">IFERROR(IF($H118+1&gt;'(backend scoring)'!$Q$335,"",$H118+1),"")</f>
        <v/>
      </c>
      <c r="I119" s="242" t="str">
        <f aca="false">_xlfn.XLOOKUP($H119,'(backend scoring)'!$S$2:$S$333,'(backend scoring)'!$A$2:$A$333,"")</f>
        <v/>
      </c>
      <c r="J119" s="242" t="str">
        <f aca="false">IFERROR(VLOOKUP($I119,'Institution Evaluation'!$A$55:$F$346,2,0),IFERROR(VLOOKUP($I119,'Privacy Analyst Evaluation'!$A$46:$F$120,2,0),""))</f>
        <v/>
      </c>
      <c r="K119" s="242" t="str">
        <f aca="false">IFERROR(VLOOKUP($I119,'Institution Evaluation'!$A$55:$F$346,3,0),IFERROR(VLOOKUP($I119,'Privacy Analyst Evaluation'!$A$46:$F$120,3,0),""))&amp;""</f>
        <v/>
      </c>
      <c r="L119" s="242" t="str">
        <f aca="false">IFERROR(VLOOKUP($I119,'Institution Evaluation'!$A$55:$F$346,4,0),IFERROR(VLOOKUP($I119,'Privacy Analyst Evaluation'!$A$46:$F$120,4,0),""))&amp;""</f>
        <v/>
      </c>
      <c r="M119" s="242" t="str">
        <f aca="false">IFERROR(VLOOKUP($I119,'Institution Evaluation'!$A$55:$F$346,6,0),IFERROR(VLOOKUP($I119,'Privacy Analyst Evaluation'!$A$46:$F$120,6,0),""))&amp;""</f>
        <v/>
      </c>
    </row>
    <row r="120" customFormat="false" ht="15" hidden="false" customHeight="false" outlineLevel="0" collapsed="false">
      <c r="A120" s="242" t="str">
        <f aca="false">IFERROR(IF($A119+1&gt;'(backend scoring)'!$T$335,"",$A119+1),"")</f>
        <v/>
      </c>
      <c r="B120" s="242" t="str">
        <f aca="false">_xlfn.XLOOKUP($A120,'(backend scoring)'!$V$2:$V$333,'(backend scoring)'!$A$2:$A$333,"")</f>
        <v/>
      </c>
      <c r="C120" s="242" t="str">
        <f aca="false">IFERROR(VLOOKUP($B120,'Institution Evaluation'!$A$55:$F$346,2,0),IFERROR(VLOOKUP($B120,'Privacy Analyst Evaluation'!$A$46:$F$120,2,0),""))&amp;""</f>
        <v/>
      </c>
      <c r="D120" s="242" t="str">
        <f aca="false">IFERROR(VLOOKUP($B120,'Institution Evaluation'!$A$55:$F$346,3,0),IFERROR(VLOOKUP($B120,'Privacy Analyst Evaluation'!$A$46:$F$120,3,0),""))&amp;""</f>
        <v/>
      </c>
      <c r="E120" s="242" t="str">
        <f aca="false">IFERROR(VLOOKUP($B120,'Institution Evaluation'!$A$55:$F$346,4,0),IFERROR(VLOOKUP($B120,'Privacy Analyst Evaluation'!$A$46:$F$120,4,0),""))&amp;""</f>
        <v/>
      </c>
      <c r="F120" s="242" t="str">
        <f aca="false">IFERROR(VLOOKUP($B120,'Institution Evaluation'!$A$55:$F$346,6,0),IFERROR(VLOOKUP($B120,'Privacy Analyst Evaluation'!$A$46:$F$120,6,0),""))&amp;""</f>
        <v/>
      </c>
      <c r="G120" s="243"/>
      <c r="H120" s="242" t="str">
        <f aca="false">IFERROR(IF($H119+1&gt;'(backend scoring)'!$Q$335,"",$H119+1),"")</f>
        <v/>
      </c>
      <c r="I120" s="242" t="str">
        <f aca="false">_xlfn.XLOOKUP($H120,'(backend scoring)'!$S$2:$S$333,'(backend scoring)'!$A$2:$A$333,"")</f>
        <v/>
      </c>
      <c r="J120" s="242" t="str">
        <f aca="false">IFERROR(VLOOKUP($I120,'Institution Evaluation'!$A$55:$F$346,2,0),IFERROR(VLOOKUP($I120,'Privacy Analyst Evaluation'!$A$46:$F$120,2,0),""))</f>
        <v/>
      </c>
      <c r="K120" s="242" t="str">
        <f aca="false">IFERROR(VLOOKUP($I120,'Institution Evaluation'!$A$55:$F$346,3,0),IFERROR(VLOOKUP($I120,'Privacy Analyst Evaluation'!$A$46:$F$120,3,0),""))&amp;""</f>
        <v/>
      </c>
      <c r="L120" s="242" t="str">
        <f aca="false">IFERROR(VLOOKUP($I120,'Institution Evaluation'!$A$55:$F$346,4,0),IFERROR(VLOOKUP($I120,'Privacy Analyst Evaluation'!$A$46:$F$120,4,0),""))&amp;""</f>
        <v/>
      </c>
      <c r="M120" s="242" t="str">
        <f aca="false">IFERROR(VLOOKUP($I120,'Institution Evaluation'!$A$55:$F$346,6,0),IFERROR(VLOOKUP($I120,'Privacy Analyst Evaluation'!$A$46:$F$120,6,0),""))&amp;""</f>
        <v/>
      </c>
    </row>
    <row r="121" customFormat="false" ht="15" hidden="false" customHeight="false" outlineLevel="0" collapsed="false">
      <c r="A121" s="242" t="str">
        <f aca="false">IFERROR(IF($A120+1&gt;'(backend scoring)'!$T$335,"",$A120+1),"")</f>
        <v/>
      </c>
      <c r="B121" s="242" t="str">
        <f aca="false">_xlfn.XLOOKUP($A121,'(backend scoring)'!$V$2:$V$333,'(backend scoring)'!$A$2:$A$333,"")</f>
        <v/>
      </c>
      <c r="C121" s="242" t="str">
        <f aca="false">IFERROR(VLOOKUP($B121,'Institution Evaluation'!$A$55:$F$346,2,0),IFERROR(VLOOKUP($B121,'Privacy Analyst Evaluation'!$A$46:$F$120,2,0),""))&amp;""</f>
        <v/>
      </c>
      <c r="D121" s="242" t="str">
        <f aca="false">IFERROR(VLOOKUP($B121,'Institution Evaluation'!$A$55:$F$346,3,0),IFERROR(VLOOKUP($B121,'Privacy Analyst Evaluation'!$A$46:$F$120,3,0),""))&amp;""</f>
        <v/>
      </c>
      <c r="E121" s="242" t="str">
        <f aca="false">IFERROR(VLOOKUP($B121,'Institution Evaluation'!$A$55:$F$346,4,0),IFERROR(VLOOKUP($B121,'Privacy Analyst Evaluation'!$A$46:$F$120,4,0),""))&amp;""</f>
        <v/>
      </c>
      <c r="F121" s="242" t="str">
        <f aca="false">IFERROR(VLOOKUP($B121,'Institution Evaluation'!$A$55:$F$346,6,0),IFERROR(VLOOKUP($B121,'Privacy Analyst Evaluation'!$A$46:$F$120,6,0),""))&amp;""</f>
        <v/>
      </c>
      <c r="G121" s="243"/>
      <c r="H121" s="242" t="str">
        <f aca="false">IFERROR(IF($H120+1&gt;'(backend scoring)'!$Q$335,"",$H120+1),"")</f>
        <v/>
      </c>
      <c r="I121" s="242" t="str">
        <f aca="false">_xlfn.XLOOKUP($H121,'(backend scoring)'!$S$2:$S$333,'(backend scoring)'!$A$2:$A$333,"")</f>
        <v/>
      </c>
      <c r="J121" s="242" t="str">
        <f aca="false">IFERROR(VLOOKUP($I121,'Institution Evaluation'!$A$55:$F$346,2,0),IFERROR(VLOOKUP($I121,'Privacy Analyst Evaluation'!$A$46:$F$120,2,0),""))</f>
        <v/>
      </c>
      <c r="K121" s="242" t="str">
        <f aca="false">IFERROR(VLOOKUP($I121,'Institution Evaluation'!$A$55:$F$346,3,0),IFERROR(VLOOKUP($I121,'Privacy Analyst Evaluation'!$A$46:$F$120,3,0),""))&amp;""</f>
        <v/>
      </c>
      <c r="L121" s="242" t="str">
        <f aca="false">IFERROR(VLOOKUP($I121,'Institution Evaluation'!$A$55:$F$346,4,0),IFERROR(VLOOKUP($I121,'Privacy Analyst Evaluation'!$A$46:$F$120,4,0),""))&amp;""</f>
        <v/>
      </c>
      <c r="M121" s="242" t="str">
        <f aca="false">IFERROR(VLOOKUP($I121,'Institution Evaluation'!$A$55:$F$346,6,0),IFERROR(VLOOKUP($I121,'Privacy Analyst Evaluation'!$A$46:$F$120,6,0),""))&amp;""</f>
        <v/>
      </c>
    </row>
    <row r="122" customFormat="false" ht="15" hidden="false" customHeight="false" outlineLevel="0" collapsed="false">
      <c r="A122" s="242" t="str">
        <f aca="false">IFERROR(IF($A121+1&gt;'(backend scoring)'!$T$335,"",$A121+1),"")</f>
        <v/>
      </c>
      <c r="B122" s="242" t="str">
        <f aca="false">_xlfn.XLOOKUP($A122,'(backend scoring)'!$V$2:$V$333,'(backend scoring)'!$A$2:$A$333,"")</f>
        <v/>
      </c>
      <c r="C122" s="242" t="str">
        <f aca="false">IFERROR(VLOOKUP($B122,'Institution Evaluation'!$A$55:$F$346,2,0),IFERROR(VLOOKUP($B122,'Privacy Analyst Evaluation'!$A$46:$F$120,2,0),""))&amp;""</f>
        <v/>
      </c>
      <c r="D122" s="242" t="str">
        <f aca="false">IFERROR(VLOOKUP($B122,'Institution Evaluation'!$A$55:$F$346,3,0),IFERROR(VLOOKUP($B122,'Privacy Analyst Evaluation'!$A$46:$F$120,3,0),""))&amp;""</f>
        <v/>
      </c>
      <c r="E122" s="242" t="str">
        <f aca="false">IFERROR(VLOOKUP($B122,'Institution Evaluation'!$A$55:$F$346,4,0),IFERROR(VLOOKUP($B122,'Privacy Analyst Evaluation'!$A$46:$F$120,4,0),""))&amp;""</f>
        <v/>
      </c>
      <c r="F122" s="242" t="str">
        <f aca="false">IFERROR(VLOOKUP($B122,'Institution Evaluation'!$A$55:$F$346,6,0),IFERROR(VLOOKUP($B122,'Privacy Analyst Evaluation'!$A$46:$F$120,6,0),""))&amp;""</f>
        <v/>
      </c>
      <c r="G122" s="243"/>
      <c r="H122" s="242" t="str">
        <f aca="false">IFERROR(IF($H121+1&gt;'(backend scoring)'!$Q$335,"",$H121+1),"")</f>
        <v/>
      </c>
      <c r="I122" s="242" t="str">
        <f aca="false">_xlfn.XLOOKUP($H122,'(backend scoring)'!$S$2:$S$333,'(backend scoring)'!$A$2:$A$333,"")</f>
        <v/>
      </c>
      <c r="J122" s="242" t="str">
        <f aca="false">IFERROR(VLOOKUP($I122,'Institution Evaluation'!$A$55:$F$346,2,0),IFERROR(VLOOKUP($I122,'Privacy Analyst Evaluation'!$A$46:$F$120,2,0),""))</f>
        <v/>
      </c>
      <c r="K122" s="242" t="str">
        <f aca="false">IFERROR(VLOOKUP($I122,'Institution Evaluation'!$A$55:$F$346,3,0),IFERROR(VLOOKUP($I122,'Privacy Analyst Evaluation'!$A$46:$F$120,3,0),""))&amp;""</f>
        <v/>
      </c>
      <c r="L122" s="242" t="str">
        <f aca="false">IFERROR(VLOOKUP($I122,'Institution Evaluation'!$A$55:$F$346,4,0),IFERROR(VLOOKUP($I122,'Privacy Analyst Evaluation'!$A$46:$F$120,4,0),""))&amp;""</f>
        <v/>
      </c>
      <c r="M122" s="242" t="str">
        <f aca="false">IFERROR(VLOOKUP($I122,'Institution Evaluation'!$A$55:$F$346,6,0),IFERROR(VLOOKUP($I122,'Privacy Analyst Evaluation'!$A$46:$F$120,6,0),""))&amp;""</f>
        <v/>
      </c>
    </row>
    <row r="123" customFormat="false" ht="15" hidden="false" customHeight="false" outlineLevel="0" collapsed="false">
      <c r="A123" s="242" t="str">
        <f aca="false">IFERROR(IF($A122+1&gt;'(backend scoring)'!$T$335,"",$A122+1),"")</f>
        <v/>
      </c>
      <c r="B123" s="242" t="str">
        <f aca="false">_xlfn.XLOOKUP($A123,'(backend scoring)'!$V$2:$V$333,'(backend scoring)'!$A$2:$A$333,"")</f>
        <v/>
      </c>
      <c r="C123" s="242" t="str">
        <f aca="false">IFERROR(VLOOKUP($B123,'Institution Evaluation'!$A$55:$F$346,2,0),IFERROR(VLOOKUP($B123,'Privacy Analyst Evaluation'!$A$46:$F$120,2,0),""))&amp;""</f>
        <v/>
      </c>
      <c r="D123" s="242" t="str">
        <f aca="false">IFERROR(VLOOKUP($B123,'Institution Evaluation'!$A$55:$F$346,3,0),IFERROR(VLOOKUP($B123,'Privacy Analyst Evaluation'!$A$46:$F$120,3,0),""))&amp;""</f>
        <v/>
      </c>
      <c r="E123" s="242" t="str">
        <f aca="false">IFERROR(VLOOKUP($B123,'Institution Evaluation'!$A$55:$F$346,4,0),IFERROR(VLOOKUP($B123,'Privacy Analyst Evaluation'!$A$46:$F$120,4,0),""))&amp;""</f>
        <v/>
      </c>
      <c r="F123" s="242" t="str">
        <f aca="false">IFERROR(VLOOKUP($B123,'Institution Evaluation'!$A$55:$F$346,6,0),IFERROR(VLOOKUP($B123,'Privacy Analyst Evaluation'!$A$46:$F$120,6,0),""))&amp;""</f>
        <v/>
      </c>
      <c r="G123" s="243"/>
      <c r="H123" s="242" t="str">
        <f aca="false">IFERROR(IF($H122+1&gt;'(backend scoring)'!$Q$335,"",$H122+1),"")</f>
        <v/>
      </c>
      <c r="I123" s="242" t="str">
        <f aca="false">_xlfn.XLOOKUP($H123,'(backend scoring)'!$S$2:$S$333,'(backend scoring)'!$A$2:$A$333,"")</f>
        <v/>
      </c>
      <c r="J123" s="242" t="str">
        <f aca="false">IFERROR(VLOOKUP($I123,'Institution Evaluation'!$A$55:$F$346,2,0),IFERROR(VLOOKUP($I123,'Privacy Analyst Evaluation'!$A$46:$F$120,2,0),""))</f>
        <v/>
      </c>
      <c r="K123" s="242" t="str">
        <f aca="false">IFERROR(VLOOKUP($I123,'Institution Evaluation'!$A$55:$F$346,3,0),IFERROR(VLOOKUP($I123,'Privacy Analyst Evaluation'!$A$46:$F$120,3,0),""))&amp;""</f>
        <v/>
      </c>
      <c r="L123" s="242" t="str">
        <f aca="false">IFERROR(VLOOKUP($I123,'Institution Evaluation'!$A$55:$F$346,4,0),IFERROR(VLOOKUP($I123,'Privacy Analyst Evaluation'!$A$46:$F$120,4,0),""))&amp;""</f>
        <v/>
      </c>
      <c r="M123" s="242" t="str">
        <f aca="false">IFERROR(VLOOKUP($I123,'Institution Evaluation'!$A$55:$F$346,6,0),IFERROR(VLOOKUP($I123,'Privacy Analyst Evaluation'!$A$46:$F$120,6,0),""))&amp;""</f>
        <v/>
      </c>
    </row>
    <row r="124" customFormat="false" ht="15" hidden="false" customHeight="false" outlineLevel="0" collapsed="false">
      <c r="A124" s="242" t="str">
        <f aca="false">IFERROR(IF($A123+1&gt;'(backend scoring)'!$T$335,"",$A123+1),"")</f>
        <v/>
      </c>
      <c r="B124" s="242" t="str">
        <f aca="false">_xlfn.XLOOKUP($A124,'(backend scoring)'!$V$2:$V$333,'(backend scoring)'!$A$2:$A$333,"")</f>
        <v/>
      </c>
      <c r="C124" s="242" t="str">
        <f aca="false">IFERROR(VLOOKUP($B124,'Institution Evaluation'!$A$55:$F$346,2,0),IFERROR(VLOOKUP($B124,'Privacy Analyst Evaluation'!$A$46:$F$120,2,0),""))&amp;""</f>
        <v/>
      </c>
      <c r="D124" s="242" t="str">
        <f aca="false">IFERROR(VLOOKUP($B124,'Institution Evaluation'!$A$55:$F$346,3,0),IFERROR(VLOOKUP($B124,'Privacy Analyst Evaluation'!$A$46:$F$120,3,0),""))&amp;""</f>
        <v/>
      </c>
      <c r="E124" s="242" t="str">
        <f aca="false">IFERROR(VLOOKUP($B124,'Institution Evaluation'!$A$55:$F$346,4,0),IFERROR(VLOOKUP($B124,'Privacy Analyst Evaluation'!$A$46:$F$120,4,0),""))&amp;""</f>
        <v/>
      </c>
      <c r="F124" s="242" t="str">
        <f aca="false">IFERROR(VLOOKUP($B124,'Institution Evaluation'!$A$55:$F$346,6,0),IFERROR(VLOOKUP($B124,'Privacy Analyst Evaluation'!$A$46:$F$120,6,0),""))&amp;""</f>
        <v/>
      </c>
      <c r="G124" s="243"/>
      <c r="H124" s="242" t="str">
        <f aca="false">IFERROR(IF($H123+1&gt;'(backend scoring)'!$Q$335,"",$H123+1),"")</f>
        <v/>
      </c>
      <c r="I124" s="242" t="str">
        <f aca="false">_xlfn.XLOOKUP($H124,'(backend scoring)'!$S$2:$S$333,'(backend scoring)'!$A$2:$A$333,"")</f>
        <v/>
      </c>
      <c r="J124" s="242" t="str">
        <f aca="false">IFERROR(VLOOKUP($I124,'Institution Evaluation'!$A$55:$F$346,2,0),IFERROR(VLOOKUP($I124,'Privacy Analyst Evaluation'!$A$46:$F$120,2,0),""))</f>
        <v/>
      </c>
      <c r="K124" s="242" t="str">
        <f aca="false">IFERROR(VLOOKUP($I124,'Institution Evaluation'!$A$55:$F$346,3,0),IFERROR(VLOOKUP($I124,'Privacy Analyst Evaluation'!$A$46:$F$120,3,0),""))&amp;""</f>
        <v/>
      </c>
      <c r="L124" s="242" t="str">
        <f aca="false">IFERROR(VLOOKUP($I124,'Institution Evaluation'!$A$55:$F$346,4,0),IFERROR(VLOOKUP($I124,'Privacy Analyst Evaluation'!$A$46:$F$120,4,0),""))&amp;""</f>
        <v/>
      </c>
      <c r="M124" s="242" t="str">
        <f aca="false">IFERROR(VLOOKUP($I124,'Institution Evaluation'!$A$55:$F$346,6,0),IFERROR(VLOOKUP($I124,'Privacy Analyst Evaluation'!$A$46:$F$120,6,0),""))&amp;""</f>
        <v/>
      </c>
    </row>
    <row r="125" customFormat="false" ht="15" hidden="false" customHeight="false" outlineLevel="0" collapsed="false">
      <c r="A125" s="242" t="str">
        <f aca="false">IFERROR(IF($A124+1&gt;'(backend scoring)'!$T$335,"",$A124+1),"")</f>
        <v/>
      </c>
      <c r="B125" s="242" t="str">
        <f aca="false">_xlfn.XLOOKUP($A125,'(backend scoring)'!$V$2:$V$333,'(backend scoring)'!$A$2:$A$333,"")</f>
        <v/>
      </c>
      <c r="C125" s="242" t="str">
        <f aca="false">IFERROR(VLOOKUP($B125,'Institution Evaluation'!$A$55:$F$346,2,0),IFERROR(VLOOKUP($B125,'Privacy Analyst Evaluation'!$A$46:$F$120,2,0),""))&amp;""</f>
        <v/>
      </c>
      <c r="D125" s="242" t="str">
        <f aca="false">IFERROR(VLOOKUP($B125,'Institution Evaluation'!$A$55:$F$346,3,0),IFERROR(VLOOKUP($B125,'Privacy Analyst Evaluation'!$A$46:$F$120,3,0),""))&amp;""</f>
        <v/>
      </c>
      <c r="E125" s="242" t="str">
        <f aca="false">IFERROR(VLOOKUP($B125,'Institution Evaluation'!$A$55:$F$346,4,0),IFERROR(VLOOKUP($B125,'Privacy Analyst Evaluation'!$A$46:$F$120,4,0),""))&amp;""</f>
        <v/>
      </c>
      <c r="F125" s="242" t="str">
        <f aca="false">IFERROR(VLOOKUP($B125,'Institution Evaluation'!$A$55:$F$346,6,0),IFERROR(VLOOKUP($B125,'Privacy Analyst Evaluation'!$A$46:$F$120,6,0),""))&amp;""</f>
        <v/>
      </c>
      <c r="G125" s="243"/>
      <c r="H125" s="242" t="str">
        <f aca="false">IFERROR(IF($H124+1&gt;'(backend scoring)'!$Q$335,"",$H124+1),"")</f>
        <v/>
      </c>
      <c r="I125" s="242" t="str">
        <f aca="false">_xlfn.XLOOKUP($H125,'(backend scoring)'!$S$2:$S$333,'(backend scoring)'!$A$2:$A$333,"")</f>
        <v/>
      </c>
      <c r="J125" s="242" t="str">
        <f aca="false">IFERROR(VLOOKUP($I125,'Institution Evaluation'!$A$55:$F$346,2,0),IFERROR(VLOOKUP($I125,'Privacy Analyst Evaluation'!$A$46:$F$120,2,0),""))</f>
        <v/>
      </c>
      <c r="K125" s="242" t="str">
        <f aca="false">IFERROR(VLOOKUP($I125,'Institution Evaluation'!$A$55:$F$346,3,0),IFERROR(VLOOKUP($I125,'Privacy Analyst Evaluation'!$A$46:$F$120,3,0),""))&amp;""</f>
        <v/>
      </c>
      <c r="L125" s="242" t="str">
        <f aca="false">IFERROR(VLOOKUP($I125,'Institution Evaluation'!$A$55:$F$346,4,0),IFERROR(VLOOKUP($I125,'Privacy Analyst Evaluation'!$A$46:$F$120,4,0),""))&amp;""</f>
        <v/>
      </c>
      <c r="M125" s="242" t="str">
        <f aca="false">IFERROR(VLOOKUP($I125,'Institution Evaluation'!$A$55:$F$346,6,0),IFERROR(VLOOKUP($I125,'Privacy Analyst Evaluation'!$A$46:$F$120,6,0),""))&amp;""</f>
        <v/>
      </c>
    </row>
    <row r="126" customFormat="false" ht="15" hidden="false" customHeight="false" outlineLevel="0" collapsed="false">
      <c r="A126" s="242" t="str">
        <f aca="false">IFERROR(IF($A125+1&gt;'(backend scoring)'!$T$335,"",$A125+1),"")</f>
        <v/>
      </c>
      <c r="B126" s="242" t="str">
        <f aca="false">_xlfn.XLOOKUP($A126,'(backend scoring)'!$V$2:$V$333,'(backend scoring)'!$A$2:$A$333,"")</f>
        <v/>
      </c>
      <c r="C126" s="242" t="str">
        <f aca="false">IFERROR(VLOOKUP($B126,'Institution Evaluation'!$A$55:$F$346,2,0),IFERROR(VLOOKUP($B126,'Privacy Analyst Evaluation'!$A$46:$F$120,2,0),""))&amp;""</f>
        <v/>
      </c>
      <c r="D126" s="242" t="str">
        <f aca="false">IFERROR(VLOOKUP($B126,'Institution Evaluation'!$A$55:$F$346,3,0),IFERROR(VLOOKUP($B126,'Privacy Analyst Evaluation'!$A$46:$F$120,3,0),""))&amp;""</f>
        <v/>
      </c>
      <c r="E126" s="242" t="str">
        <f aca="false">IFERROR(VLOOKUP($B126,'Institution Evaluation'!$A$55:$F$346,4,0),IFERROR(VLOOKUP($B126,'Privacy Analyst Evaluation'!$A$46:$F$120,4,0),""))&amp;""</f>
        <v/>
      </c>
      <c r="F126" s="242" t="str">
        <f aca="false">IFERROR(VLOOKUP($B126,'Institution Evaluation'!$A$55:$F$346,6,0),IFERROR(VLOOKUP($B126,'Privacy Analyst Evaluation'!$A$46:$F$120,6,0),""))&amp;""</f>
        <v/>
      </c>
      <c r="G126" s="243"/>
      <c r="H126" s="242" t="str">
        <f aca="false">IFERROR(IF($H125+1&gt;'(backend scoring)'!$Q$335,"",$H125+1),"")</f>
        <v/>
      </c>
      <c r="I126" s="242" t="str">
        <f aca="false">_xlfn.XLOOKUP($H126,'(backend scoring)'!$S$2:$S$333,'(backend scoring)'!$A$2:$A$333,"")</f>
        <v/>
      </c>
      <c r="J126" s="242" t="str">
        <f aca="false">IFERROR(VLOOKUP($I126,'Institution Evaluation'!$A$55:$F$346,2,0),IFERROR(VLOOKUP($I126,'Privacy Analyst Evaluation'!$A$46:$F$120,2,0),""))</f>
        <v/>
      </c>
      <c r="K126" s="242" t="str">
        <f aca="false">IFERROR(VLOOKUP($I126,'Institution Evaluation'!$A$55:$F$346,3,0),IFERROR(VLOOKUP($I126,'Privacy Analyst Evaluation'!$A$46:$F$120,3,0),""))&amp;""</f>
        <v/>
      </c>
      <c r="L126" s="242" t="str">
        <f aca="false">IFERROR(VLOOKUP($I126,'Institution Evaluation'!$A$55:$F$346,4,0),IFERROR(VLOOKUP($I126,'Privacy Analyst Evaluation'!$A$46:$F$120,4,0),""))&amp;""</f>
        <v/>
      </c>
      <c r="M126" s="242" t="str">
        <f aca="false">IFERROR(VLOOKUP($I126,'Institution Evaluation'!$A$55:$F$346,6,0),IFERROR(VLOOKUP($I126,'Privacy Analyst Evaluation'!$A$46:$F$120,6,0),""))&amp;""</f>
        <v/>
      </c>
    </row>
    <row r="127" customFormat="false" ht="15" hidden="false" customHeight="false" outlineLevel="0" collapsed="false">
      <c r="A127" s="242" t="str">
        <f aca="false">IFERROR(IF($A126+1&gt;'(backend scoring)'!$T$335,"",$A126+1),"")</f>
        <v/>
      </c>
      <c r="B127" s="242" t="str">
        <f aca="false">_xlfn.XLOOKUP($A127,'(backend scoring)'!$V$2:$V$333,'(backend scoring)'!$A$2:$A$333,"")</f>
        <v/>
      </c>
      <c r="C127" s="242" t="str">
        <f aca="false">IFERROR(VLOOKUP($B127,'Institution Evaluation'!$A$55:$F$346,2,0),IFERROR(VLOOKUP($B127,'Privacy Analyst Evaluation'!$A$46:$F$120,2,0),""))&amp;""</f>
        <v/>
      </c>
      <c r="D127" s="242" t="str">
        <f aca="false">IFERROR(VLOOKUP($B127,'Institution Evaluation'!$A$55:$F$346,3,0),IFERROR(VLOOKUP($B127,'Privacy Analyst Evaluation'!$A$46:$F$120,3,0),""))&amp;""</f>
        <v/>
      </c>
      <c r="E127" s="242" t="str">
        <f aca="false">IFERROR(VLOOKUP($B127,'Institution Evaluation'!$A$55:$F$346,4,0),IFERROR(VLOOKUP($B127,'Privacy Analyst Evaluation'!$A$46:$F$120,4,0),""))&amp;""</f>
        <v/>
      </c>
      <c r="F127" s="242" t="str">
        <f aca="false">IFERROR(VLOOKUP($B127,'Institution Evaluation'!$A$55:$F$346,6,0),IFERROR(VLOOKUP($B127,'Privacy Analyst Evaluation'!$A$46:$F$120,6,0),""))&amp;""</f>
        <v/>
      </c>
      <c r="G127" s="243"/>
      <c r="H127" s="242" t="str">
        <f aca="false">IFERROR(IF($H126+1&gt;'(backend scoring)'!$Q$335,"",$H126+1),"")</f>
        <v/>
      </c>
      <c r="I127" s="242" t="str">
        <f aca="false">_xlfn.XLOOKUP($H127,'(backend scoring)'!$S$2:$S$333,'(backend scoring)'!$A$2:$A$333,"")</f>
        <v/>
      </c>
      <c r="J127" s="242" t="str">
        <f aca="false">IFERROR(VLOOKUP($I127,'Institution Evaluation'!$A$55:$F$346,2,0),IFERROR(VLOOKUP($I127,'Privacy Analyst Evaluation'!$A$46:$F$120,2,0),""))</f>
        <v/>
      </c>
      <c r="K127" s="242" t="str">
        <f aca="false">IFERROR(VLOOKUP($I127,'Institution Evaluation'!$A$55:$F$346,3,0),IFERROR(VLOOKUP($I127,'Privacy Analyst Evaluation'!$A$46:$F$120,3,0),""))&amp;""</f>
        <v/>
      </c>
      <c r="L127" s="242" t="str">
        <f aca="false">IFERROR(VLOOKUP($I127,'Institution Evaluation'!$A$55:$F$346,4,0),IFERROR(VLOOKUP($I127,'Privacy Analyst Evaluation'!$A$46:$F$120,4,0),""))&amp;""</f>
        <v/>
      </c>
      <c r="M127" s="242" t="str">
        <f aca="false">IFERROR(VLOOKUP($I127,'Institution Evaluation'!$A$55:$F$346,6,0),IFERROR(VLOOKUP($I127,'Privacy Analyst Evaluation'!$A$46:$F$120,6,0),""))&amp;""</f>
        <v/>
      </c>
    </row>
    <row r="128" customFormat="false" ht="15" hidden="false" customHeight="false" outlineLevel="0" collapsed="false">
      <c r="A128" s="242" t="str">
        <f aca="false">IFERROR(IF($A127+1&gt;'(backend scoring)'!$T$335,"",$A127+1),"")</f>
        <v/>
      </c>
      <c r="B128" s="242" t="str">
        <f aca="false">_xlfn.XLOOKUP($A128,'(backend scoring)'!$V$2:$V$333,'(backend scoring)'!$A$2:$A$333,"")</f>
        <v/>
      </c>
      <c r="C128" s="242" t="str">
        <f aca="false">IFERROR(VLOOKUP($B128,'Institution Evaluation'!$A$55:$F$346,2,0),IFERROR(VLOOKUP($B128,'Privacy Analyst Evaluation'!$A$46:$F$120,2,0),""))&amp;""</f>
        <v/>
      </c>
      <c r="D128" s="242" t="str">
        <f aca="false">IFERROR(VLOOKUP($B128,'Institution Evaluation'!$A$55:$F$346,3,0),IFERROR(VLOOKUP($B128,'Privacy Analyst Evaluation'!$A$46:$F$120,3,0),""))&amp;""</f>
        <v/>
      </c>
      <c r="E128" s="242" t="str">
        <f aca="false">IFERROR(VLOOKUP($B128,'Institution Evaluation'!$A$55:$F$346,4,0),IFERROR(VLOOKUP($B128,'Privacy Analyst Evaluation'!$A$46:$F$120,4,0),""))&amp;""</f>
        <v/>
      </c>
      <c r="F128" s="242" t="str">
        <f aca="false">IFERROR(VLOOKUP($B128,'Institution Evaluation'!$A$55:$F$346,6,0),IFERROR(VLOOKUP($B128,'Privacy Analyst Evaluation'!$A$46:$F$120,6,0),""))&amp;""</f>
        <v/>
      </c>
      <c r="G128" s="243"/>
      <c r="H128" s="242" t="str">
        <f aca="false">IFERROR(IF($H127+1&gt;'(backend scoring)'!$Q$335,"",$H127+1),"")</f>
        <v/>
      </c>
      <c r="I128" s="242" t="str">
        <f aca="false">_xlfn.XLOOKUP($H128,'(backend scoring)'!$S$2:$S$333,'(backend scoring)'!$A$2:$A$333,"")</f>
        <v/>
      </c>
      <c r="J128" s="242" t="str">
        <f aca="false">IFERROR(VLOOKUP($I128,'Institution Evaluation'!$A$55:$F$346,2,0),IFERROR(VLOOKUP($I128,'Privacy Analyst Evaluation'!$A$46:$F$120,2,0),""))</f>
        <v/>
      </c>
      <c r="K128" s="242" t="str">
        <f aca="false">IFERROR(VLOOKUP($I128,'Institution Evaluation'!$A$55:$F$346,3,0),IFERROR(VLOOKUP($I128,'Privacy Analyst Evaluation'!$A$46:$F$120,3,0),""))&amp;""</f>
        <v/>
      </c>
      <c r="L128" s="242" t="str">
        <f aca="false">IFERROR(VLOOKUP($I128,'Institution Evaluation'!$A$55:$F$346,4,0),IFERROR(VLOOKUP($I128,'Privacy Analyst Evaluation'!$A$46:$F$120,4,0),""))&amp;""</f>
        <v/>
      </c>
      <c r="M128" s="242" t="str">
        <f aca="false">IFERROR(VLOOKUP($I128,'Institution Evaluation'!$A$55:$F$346,6,0),IFERROR(VLOOKUP($I128,'Privacy Analyst Evaluation'!$A$46:$F$120,6,0),""))&amp;""</f>
        <v/>
      </c>
    </row>
    <row r="129" customFormat="false" ht="15" hidden="false" customHeight="false" outlineLevel="0" collapsed="false">
      <c r="A129" s="242" t="str">
        <f aca="false">IFERROR(IF($A128+1&gt;'(backend scoring)'!$T$335,"",$A128+1),"")</f>
        <v/>
      </c>
      <c r="B129" s="242" t="str">
        <f aca="false">_xlfn.XLOOKUP($A129,'(backend scoring)'!$V$2:$V$333,'(backend scoring)'!$A$2:$A$333,"")</f>
        <v/>
      </c>
      <c r="C129" s="242" t="str">
        <f aca="false">IFERROR(VLOOKUP($B129,'Institution Evaluation'!$A$55:$F$346,2,0),IFERROR(VLOOKUP($B129,'Privacy Analyst Evaluation'!$A$46:$F$120,2,0),""))&amp;""</f>
        <v/>
      </c>
      <c r="D129" s="242" t="str">
        <f aca="false">IFERROR(VLOOKUP($B129,'Institution Evaluation'!$A$55:$F$346,3,0),IFERROR(VLOOKUP($B129,'Privacy Analyst Evaluation'!$A$46:$F$120,3,0),""))&amp;""</f>
        <v/>
      </c>
      <c r="E129" s="242" t="str">
        <f aca="false">IFERROR(VLOOKUP($B129,'Institution Evaluation'!$A$55:$F$346,4,0),IFERROR(VLOOKUP($B129,'Privacy Analyst Evaluation'!$A$46:$F$120,4,0),""))&amp;""</f>
        <v/>
      </c>
      <c r="F129" s="242" t="str">
        <f aca="false">IFERROR(VLOOKUP($B129,'Institution Evaluation'!$A$55:$F$346,6,0),IFERROR(VLOOKUP($B129,'Privacy Analyst Evaluation'!$A$46:$F$120,6,0),""))&amp;""</f>
        <v/>
      </c>
      <c r="G129" s="243"/>
      <c r="H129" s="242" t="str">
        <f aca="false">IFERROR(IF($H128+1&gt;'(backend scoring)'!$Q$335,"",$H128+1),"")</f>
        <v/>
      </c>
      <c r="I129" s="242" t="str">
        <f aca="false">_xlfn.XLOOKUP($H129,'(backend scoring)'!$S$2:$S$333,'(backend scoring)'!$A$2:$A$333,"")</f>
        <v/>
      </c>
      <c r="J129" s="242" t="str">
        <f aca="false">IFERROR(VLOOKUP($I129,'Institution Evaluation'!$A$55:$F$346,2,0),IFERROR(VLOOKUP($I129,'Privacy Analyst Evaluation'!$A$46:$F$120,2,0),""))</f>
        <v/>
      </c>
      <c r="K129" s="242" t="str">
        <f aca="false">IFERROR(VLOOKUP($I129,'Institution Evaluation'!$A$55:$F$346,3,0),IFERROR(VLOOKUP($I129,'Privacy Analyst Evaluation'!$A$46:$F$120,3,0),""))&amp;""</f>
        <v/>
      </c>
      <c r="L129" s="242" t="str">
        <f aca="false">IFERROR(VLOOKUP($I129,'Institution Evaluation'!$A$55:$F$346,4,0),IFERROR(VLOOKUP($I129,'Privacy Analyst Evaluation'!$A$46:$F$120,4,0),""))&amp;""</f>
        <v/>
      </c>
      <c r="M129" s="242" t="str">
        <f aca="false">IFERROR(VLOOKUP($I129,'Institution Evaluation'!$A$55:$F$346,6,0),IFERROR(VLOOKUP($I129,'Privacy Analyst Evaluation'!$A$46:$F$120,6,0),""))&amp;""</f>
        <v/>
      </c>
    </row>
    <row r="130" customFormat="false" ht="15" hidden="false" customHeight="false" outlineLevel="0" collapsed="false">
      <c r="A130" s="242" t="str">
        <f aca="false">IFERROR(IF($A129+1&gt;'(backend scoring)'!$T$335,"",$A129+1),"")</f>
        <v/>
      </c>
      <c r="B130" s="242" t="str">
        <f aca="false">_xlfn.XLOOKUP($A130,'(backend scoring)'!$V$2:$V$333,'(backend scoring)'!$A$2:$A$333,"")</f>
        <v/>
      </c>
      <c r="C130" s="242" t="str">
        <f aca="false">IFERROR(VLOOKUP($B130,'Institution Evaluation'!$A$55:$F$346,2,0),IFERROR(VLOOKUP($B130,'Privacy Analyst Evaluation'!$A$46:$F$120,2,0),""))&amp;""</f>
        <v/>
      </c>
      <c r="D130" s="242" t="str">
        <f aca="false">IFERROR(VLOOKUP($B130,'Institution Evaluation'!$A$55:$F$346,3,0),IFERROR(VLOOKUP($B130,'Privacy Analyst Evaluation'!$A$46:$F$120,3,0),""))&amp;""</f>
        <v/>
      </c>
      <c r="E130" s="242" t="str">
        <f aca="false">IFERROR(VLOOKUP($B130,'Institution Evaluation'!$A$55:$F$346,4,0),IFERROR(VLOOKUP($B130,'Privacy Analyst Evaluation'!$A$46:$F$120,4,0),""))&amp;""</f>
        <v/>
      </c>
      <c r="F130" s="242" t="str">
        <f aca="false">IFERROR(VLOOKUP($B130,'Institution Evaluation'!$A$55:$F$346,6,0),IFERROR(VLOOKUP($B130,'Privacy Analyst Evaluation'!$A$46:$F$120,6,0),""))&amp;""</f>
        <v/>
      </c>
      <c r="G130" s="243"/>
      <c r="H130" s="242" t="str">
        <f aca="false">IFERROR(IF($H129+1&gt;'(backend scoring)'!$Q$335,"",$H129+1),"")</f>
        <v/>
      </c>
      <c r="I130" s="242" t="str">
        <f aca="false">_xlfn.XLOOKUP($H130,'(backend scoring)'!$S$2:$S$333,'(backend scoring)'!$A$2:$A$333,"")</f>
        <v/>
      </c>
      <c r="J130" s="242" t="str">
        <f aca="false">IFERROR(VLOOKUP($I130,'Institution Evaluation'!$A$55:$F$346,2,0),IFERROR(VLOOKUP($I130,'Privacy Analyst Evaluation'!$A$46:$F$120,2,0),""))</f>
        <v/>
      </c>
      <c r="K130" s="242" t="str">
        <f aca="false">IFERROR(VLOOKUP($I130,'Institution Evaluation'!$A$55:$F$346,3,0),IFERROR(VLOOKUP($I130,'Privacy Analyst Evaluation'!$A$46:$F$120,3,0),""))&amp;""</f>
        <v/>
      </c>
      <c r="L130" s="242" t="str">
        <f aca="false">IFERROR(VLOOKUP($I130,'Institution Evaluation'!$A$55:$F$346,4,0),IFERROR(VLOOKUP($I130,'Privacy Analyst Evaluation'!$A$46:$F$120,4,0),""))&amp;""</f>
        <v/>
      </c>
      <c r="M130" s="242" t="str">
        <f aca="false">IFERROR(VLOOKUP($I130,'Institution Evaluation'!$A$55:$F$346,6,0),IFERROR(VLOOKUP($I130,'Privacy Analyst Evaluation'!$A$46:$F$120,6,0),""))&amp;""</f>
        <v/>
      </c>
    </row>
    <row r="131" customFormat="false" ht="15" hidden="false" customHeight="false" outlineLevel="0" collapsed="false">
      <c r="A131" s="242" t="str">
        <f aca="false">IFERROR(IF($A130+1&gt;'(backend scoring)'!$T$335,"",$A130+1),"")</f>
        <v/>
      </c>
      <c r="B131" s="242" t="str">
        <f aca="false">_xlfn.XLOOKUP($A131,'(backend scoring)'!$V$2:$V$333,'(backend scoring)'!$A$2:$A$333,"")</f>
        <v/>
      </c>
      <c r="C131" s="242" t="str">
        <f aca="false">IFERROR(VLOOKUP($B131,'Institution Evaluation'!$A$55:$F$346,2,0),IFERROR(VLOOKUP($B131,'Privacy Analyst Evaluation'!$A$46:$F$120,2,0),""))&amp;""</f>
        <v/>
      </c>
      <c r="D131" s="242" t="str">
        <f aca="false">IFERROR(VLOOKUP($B131,'Institution Evaluation'!$A$55:$F$346,3,0),IFERROR(VLOOKUP($B131,'Privacy Analyst Evaluation'!$A$46:$F$120,3,0),""))&amp;""</f>
        <v/>
      </c>
      <c r="E131" s="242" t="str">
        <f aca="false">IFERROR(VLOOKUP($B131,'Institution Evaluation'!$A$55:$F$346,4,0),IFERROR(VLOOKUP($B131,'Privacy Analyst Evaluation'!$A$46:$F$120,4,0),""))&amp;""</f>
        <v/>
      </c>
      <c r="F131" s="242" t="str">
        <f aca="false">IFERROR(VLOOKUP($B131,'Institution Evaluation'!$A$55:$F$346,6,0),IFERROR(VLOOKUP($B131,'Privacy Analyst Evaluation'!$A$46:$F$120,6,0),""))&amp;""</f>
        <v/>
      </c>
      <c r="G131" s="243"/>
      <c r="H131" s="242" t="str">
        <f aca="false">IFERROR(IF($H130+1&gt;'(backend scoring)'!$Q$335,"",$H130+1),"")</f>
        <v/>
      </c>
      <c r="I131" s="242" t="str">
        <f aca="false">_xlfn.XLOOKUP($H131,'(backend scoring)'!$S$2:$S$333,'(backend scoring)'!$A$2:$A$333,"")</f>
        <v/>
      </c>
      <c r="J131" s="242" t="str">
        <f aca="false">IFERROR(VLOOKUP($I131,'Institution Evaluation'!$A$55:$F$346,2,0),IFERROR(VLOOKUP($I131,'Privacy Analyst Evaluation'!$A$46:$F$120,2,0),""))</f>
        <v/>
      </c>
      <c r="K131" s="242" t="str">
        <f aca="false">IFERROR(VLOOKUP($I131,'Institution Evaluation'!$A$55:$F$346,3,0),IFERROR(VLOOKUP($I131,'Privacy Analyst Evaluation'!$A$46:$F$120,3,0),""))&amp;""</f>
        <v/>
      </c>
      <c r="L131" s="242" t="str">
        <f aca="false">IFERROR(VLOOKUP($I131,'Institution Evaluation'!$A$55:$F$346,4,0),IFERROR(VLOOKUP($I131,'Privacy Analyst Evaluation'!$A$46:$F$120,4,0),""))&amp;""</f>
        <v/>
      </c>
      <c r="M131" s="242" t="str">
        <f aca="false">IFERROR(VLOOKUP($I131,'Institution Evaluation'!$A$55:$F$346,6,0),IFERROR(VLOOKUP($I131,'Privacy Analyst Evaluation'!$A$46:$F$120,6,0),""))&amp;""</f>
        <v/>
      </c>
    </row>
    <row r="132" customFormat="false" ht="15" hidden="false" customHeight="false" outlineLevel="0" collapsed="false">
      <c r="A132" s="242" t="str">
        <f aca="false">IFERROR(IF($A131+1&gt;'(backend scoring)'!$T$335,"",$A131+1),"")</f>
        <v/>
      </c>
      <c r="B132" s="242" t="str">
        <f aca="false">_xlfn.XLOOKUP($A132,'(backend scoring)'!$V$2:$V$333,'(backend scoring)'!$A$2:$A$333,"")</f>
        <v/>
      </c>
      <c r="C132" s="242" t="str">
        <f aca="false">IFERROR(VLOOKUP($B132,'Institution Evaluation'!$A$55:$F$346,2,0),IFERROR(VLOOKUP($B132,'Privacy Analyst Evaluation'!$A$46:$F$120,2,0),""))&amp;""</f>
        <v/>
      </c>
      <c r="D132" s="242" t="str">
        <f aca="false">IFERROR(VLOOKUP($B132,'Institution Evaluation'!$A$55:$F$346,3,0),IFERROR(VLOOKUP($B132,'Privacy Analyst Evaluation'!$A$46:$F$120,3,0),""))&amp;""</f>
        <v/>
      </c>
      <c r="E132" s="242" t="str">
        <f aca="false">IFERROR(VLOOKUP($B132,'Institution Evaluation'!$A$55:$F$346,4,0),IFERROR(VLOOKUP($B132,'Privacy Analyst Evaluation'!$A$46:$F$120,4,0),""))&amp;""</f>
        <v/>
      </c>
      <c r="F132" s="242" t="str">
        <f aca="false">IFERROR(VLOOKUP($B132,'Institution Evaluation'!$A$55:$F$346,6,0),IFERROR(VLOOKUP($B132,'Privacy Analyst Evaluation'!$A$46:$F$120,6,0),""))&amp;""</f>
        <v/>
      </c>
      <c r="G132" s="243"/>
      <c r="H132" s="242" t="str">
        <f aca="false">IFERROR(IF($H131+1&gt;'(backend scoring)'!$Q$335,"",$H131+1),"")</f>
        <v/>
      </c>
      <c r="I132" s="242" t="str">
        <f aca="false">_xlfn.XLOOKUP($H132,'(backend scoring)'!$S$2:$S$333,'(backend scoring)'!$A$2:$A$333,"")</f>
        <v/>
      </c>
      <c r="J132" s="242" t="str">
        <f aca="false">IFERROR(VLOOKUP($I132,'Institution Evaluation'!$A$55:$F$346,2,0),IFERROR(VLOOKUP($I132,'Privacy Analyst Evaluation'!$A$46:$F$120,2,0),""))</f>
        <v/>
      </c>
      <c r="K132" s="242" t="str">
        <f aca="false">IFERROR(VLOOKUP($I132,'Institution Evaluation'!$A$55:$F$346,3,0),IFERROR(VLOOKUP($I132,'Privacy Analyst Evaluation'!$A$46:$F$120,3,0),""))&amp;""</f>
        <v/>
      </c>
      <c r="L132" s="242" t="str">
        <f aca="false">IFERROR(VLOOKUP($I132,'Institution Evaluation'!$A$55:$F$346,4,0),IFERROR(VLOOKUP($I132,'Privacy Analyst Evaluation'!$A$46:$F$120,4,0),""))&amp;""</f>
        <v/>
      </c>
      <c r="M132" s="242" t="str">
        <f aca="false">IFERROR(VLOOKUP($I132,'Institution Evaluation'!$A$55:$F$346,6,0),IFERROR(VLOOKUP($I132,'Privacy Analyst Evaluation'!$A$46:$F$120,6,0),""))&amp;""</f>
        <v/>
      </c>
    </row>
    <row r="133" customFormat="false" ht="15" hidden="false" customHeight="false" outlineLevel="0" collapsed="false">
      <c r="A133" s="242" t="str">
        <f aca="false">IFERROR(IF($A132+1&gt;'(backend scoring)'!$T$335,"",$A132+1),"")</f>
        <v/>
      </c>
      <c r="B133" s="242" t="str">
        <f aca="false">_xlfn.XLOOKUP($A133,'(backend scoring)'!$V$2:$V$333,'(backend scoring)'!$A$2:$A$333,"")</f>
        <v/>
      </c>
      <c r="C133" s="242" t="str">
        <f aca="false">IFERROR(VLOOKUP($B133,'Institution Evaluation'!$A$55:$F$346,2,0),IFERROR(VLOOKUP($B133,'Privacy Analyst Evaluation'!$A$46:$F$120,2,0),""))&amp;""</f>
        <v/>
      </c>
      <c r="D133" s="242" t="str">
        <f aca="false">IFERROR(VLOOKUP($B133,'Institution Evaluation'!$A$55:$F$346,3,0),IFERROR(VLOOKUP($B133,'Privacy Analyst Evaluation'!$A$46:$F$120,3,0),""))&amp;""</f>
        <v/>
      </c>
      <c r="E133" s="242" t="str">
        <f aca="false">IFERROR(VLOOKUP($B133,'Institution Evaluation'!$A$55:$F$346,4,0),IFERROR(VLOOKUP($B133,'Privacy Analyst Evaluation'!$A$46:$F$120,4,0),""))&amp;""</f>
        <v/>
      </c>
      <c r="F133" s="242" t="str">
        <f aca="false">IFERROR(VLOOKUP($B133,'Institution Evaluation'!$A$55:$F$346,6,0),IFERROR(VLOOKUP($B133,'Privacy Analyst Evaluation'!$A$46:$F$120,6,0),""))&amp;""</f>
        <v/>
      </c>
      <c r="G133" s="243"/>
      <c r="H133" s="242" t="str">
        <f aca="false">IFERROR(IF($H132+1&gt;'(backend scoring)'!$Q$335,"",$H132+1),"")</f>
        <v/>
      </c>
      <c r="I133" s="242" t="str">
        <f aca="false">_xlfn.XLOOKUP($H133,'(backend scoring)'!$S$2:$S$333,'(backend scoring)'!$A$2:$A$333,"")</f>
        <v/>
      </c>
      <c r="J133" s="242" t="str">
        <f aca="false">IFERROR(VLOOKUP($I133,'Institution Evaluation'!$A$55:$F$346,2,0),IFERROR(VLOOKUP($I133,'Privacy Analyst Evaluation'!$A$46:$F$120,2,0),""))</f>
        <v/>
      </c>
      <c r="K133" s="242" t="str">
        <f aca="false">IFERROR(VLOOKUP($I133,'Institution Evaluation'!$A$55:$F$346,3,0),IFERROR(VLOOKUP($I133,'Privacy Analyst Evaluation'!$A$46:$F$120,3,0),""))&amp;""</f>
        <v/>
      </c>
      <c r="L133" s="242" t="str">
        <f aca="false">IFERROR(VLOOKUP($I133,'Institution Evaluation'!$A$55:$F$346,4,0),IFERROR(VLOOKUP($I133,'Privacy Analyst Evaluation'!$A$46:$F$120,4,0),""))&amp;""</f>
        <v/>
      </c>
      <c r="M133" s="242" t="str">
        <f aca="false">IFERROR(VLOOKUP($I133,'Institution Evaluation'!$A$55:$F$346,6,0),IFERROR(VLOOKUP($I133,'Privacy Analyst Evaluation'!$A$46:$F$120,6,0),""))&amp;""</f>
        <v/>
      </c>
    </row>
    <row r="134" customFormat="false" ht="15" hidden="false" customHeight="false" outlineLevel="0" collapsed="false">
      <c r="A134" s="242" t="str">
        <f aca="false">IFERROR(IF($A133+1&gt;'(backend scoring)'!$T$335,"",$A133+1),"")</f>
        <v/>
      </c>
      <c r="B134" s="242" t="str">
        <f aca="false">_xlfn.XLOOKUP($A134,'(backend scoring)'!$V$2:$V$333,'(backend scoring)'!$A$2:$A$333,"")</f>
        <v/>
      </c>
      <c r="C134" s="242" t="str">
        <f aca="false">IFERROR(VLOOKUP($B134,'Institution Evaluation'!$A$55:$F$346,2,0),IFERROR(VLOOKUP($B134,'Privacy Analyst Evaluation'!$A$46:$F$120,2,0),""))&amp;""</f>
        <v/>
      </c>
      <c r="D134" s="242" t="str">
        <f aca="false">IFERROR(VLOOKUP($B134,'Institution Evaluation'!$A$55:$F$346,3,0),IFERROR(VLOOKUP($B134,'Privacy Analyst Evaluation'!$A$46:$F$120,3,0),""))&amp;""</f>
        <v/>
      </c>
      <c r="E134" s="242" t="str">
        <f aca="false">IFERROR(VLOOKUP($B134,'Institution Evaluation'!$A$55:$F$346,4,0),IFERROR(VLOOKUP($B134,'Privacy Analyst Evaluation'!$A$46:$F$120,4,0),""))&amp;""</f>
        <v/>
      </c>
      <c r="F134" s="242" t="str">
        <f aca="false">IFERROR(VLOOKUP($B134,'Institution Evaluation'!$A$55:$F$346,6,0),IFERROR(VLOOKUP($B134,'Privacy Analyst Evaluation'!$A$46:$F$120,6,0),""))&amp;""</f>
        <v/>
      </c>
      <c r="G134" s="243"/>
      <c r="H134" s="242" t="str">
        <f aca="false">IFERROR(IF($H133+1&gt;'(backend scoring)'!$Q$335,"",$H133+1),"")</f>
        <v/>
      </c>
      <c r="I134" s="242" t="str">
        <f aca="false">_xlfn.XLOOKUP($H134,'(backend scoring)'!$S$2:$S$333,'(backend scoring)'!$A$2:$A$333,"")</f>
        <v/>
      </c>
      <c r="J134" s="242" t="str">
        <f aca="false">IFERROR(VLOOKUP($I134,'Institution Evaluation'!$A$55:$F$346,2,0),IFERROR(VLOOKUP($I134,'Privacy Analyst Evaluation'!$A$46:$F$120,2,0),""))</f>
        <v/>
      </c>
      <c r="K134" s="242" t="str">
        <f aca="false">IFERROR(VLOOKUP($I134,'Institution Evaluation'!$A$55:$F$346,3,0),IFERROR(VLOOKUP($I134,'Privacy Analyst Evaluation'!$A$46:$F$120,3,0),""))&amp;""</f>
        <v/>
      </c>
      <c r="L134" s="242" t="str">
        <f aca="false">IFERROR(VLOOKUP($I134,'Institution Evaluation'!$A$55:$F$346,4,0),IFERROR(VLOOKUP($I134,'Privacy Analyst Evaluation'!$A$46:$F$120,4,0),""))&amp;""</f>
        <v/>
      </c>
      <c r="M134" s="242" t="str">
        <f aca="false">IFERROR(VLOOKUP($I134,'Institution Evaluation'!$A$55:$F$346,6,0),IFERROR(VLOOKUP($I134,'Privacy Analyst Evaluation'!$A$46:$F$120,6,0),""))&amp;""</f>
        <v/>
      </c>
    </row>
    <row r="135" customFormat="false" ht="15" hidden="false" customHeight="false" outlineLevel="0" collapsed="false">
      <c r="A135" s="242" t="str">
        <f aca="false">IFERROR(IF($A134+1&gt;'(backend scoring)'!$T$335,"",$A134+1),"")</f>
        <v/>
      </c>
      <c r="B135" s="242" t="str">
        <f aca="false">_xlfn.XLOOKUP($A135,'(backend scoring)'!$V$2:$V$333,'(backend scoring)'!$A$2:$A$333,"")</f>
        <v/>
      </c>
      <c r="C135" s="242" t="str">
        <f aca="false">IFERROR(VLOOKUP($B135,'Institution Evaluation'!$A$55:$F$346,2,0),IFERROR(VLOOKUP($B135,'Privacy Analyst Evaluation'!$A$46:$F$120,2,0),""))&amp;""</f>
        <v/>
      </c>
      <c r="D135" s="242" t="str">
        <f aca="false">IFERROR(VLOOKUP($B135,'Institution Evaluation'!$A$55:$F$346,3,0),IFERROR(VLOOKUP($B135,'Privacy Analyst Evaluation'!$A$46:$F$120,3,0),""))&amp;""</f>
        <v/>
      </c>
      <c r="E135" s="242" t="str">
        <f aca="false">IFERROR(VLOOKUP($B135,'Institution Evaluation'!$A$55:$F$346,4,0),IFERROR(VLOOKUP($B135,'Privacy Analyst Evaluation'!$A$46:$F$120,4,0),""))&amp;""</f>
        <v/>
      </c>
      <c r="F135" s="242" t="str">
        <f aca="false">IFERROR(VLOOKUP($B135,'Institution Evaluation'!$A$55:$F$346,6,0),IFERROR(VLOOKUP($B135,'Privacy Analyst Evaluation'!$A$46:$F$120,6,0),""))&amp;""</f>
        <v/>
      </c>
      <c r="G135" s="243"/>
      <c r="H135" s="242" t="str">
        <f aca="false">IFERROR(IF($H134+1&gt;'(backend scoring)'!$Q$335,"",$H134+1),"")</f>
        <v/>
      </c>
      <c r="I135" s="242" t="str">
        <f aca="false">_xlfn.XLOOKUP($H135,'(backend scoring)'!$S$2:$S$333,'(backend scoring)'!$A$2:$A$333,"")</f>
        <v/>
      </c>
      <c r="J135" s="242" t="str">
        <f aca="false">IFERROR(VLOOKUP($I135,'Institution Evaluation'!$A$55:$F$346,2,0),IFERROR(VLOOKUP($I135,'Privacy Analyst Evaluation'!$A$46:$F$120,2,0),""))</f>
        <v/>
      </c>
      <c r="K135" s="242" t="str">
        <f aca="false">IFERROR(VLOOKUP($I135,'Institution Evaluation'!$A$55:$F$346,3,0),IFERROR(VLOOKUP($I135,'Privacy Analyst Evaluation'!$A$46:$F$120,3,0),""))&amp;""</f>
        <v/>
      </c>
      <c r="L135" s="242" t="str">
        <f aca="false">IFERROR(VLOOKUP($I135,'Institution Evaluation'!$A$55:$F$346,4,0),IFERROR(VLOOKUP($I135,'Privacy Analyst Evaluation'!$A$46:$F$120,4,0),""))&amp;""</f>
        <v/>
      </c>
      <c r="M135" s="242" t="str">
        <f aca="false">IFERROR(VLOOKUP($I135,'Institution Evaluation'!$A$55:$F$346,6,0),IFERROR(VLOOKUP($I135,'Privacy Analyst Evaluation'!$A$46:$F$120,6,0),""))&amp;""</f>
        <v/>
      </c>
    </row>
    <row r="136" customFormat="false" ht="15" hidden="false" customHeight="false" outlineLevel="0" collapsed="false">
      <c r="A136" s="242" t="str">
        <f aca="false">IFERROR(IF($A135+1&gt;'(backend scoring)'!$T$335,"",$A135+1),"")</f>
        <v/>
      </c>
      <c r="B136" s="242" t="str">
        <f aca="false">_xlfn.XLOOKUP($A136,'(backend scoring)'!$V$2:$V$333,'(backend scoring)'!$A$2:$A$333,"")</f>
        <v/>
      </c>
      <c r="C136" s="242" t="str">
        <f aca="false">IFERROR(VLOOKUP($B136,'Institution Evaluation'!$A$55:$F$346,2,0),IFERROR(VLOOKUP($B136,'Privacy Analyst Evaluation'!$A$46:$F$120,2,0),""))&amp;""</f>
        <v/>
      </c>
      <c r="D136" s="242" t="str">
        <f aca="false">IFERROR(VLOOKUP($B136,'Institution Evaluation'!$A$55:$F$346,3,0),IFERROR(VLOOKUP($B136,'Privacy Analyst Evaluation'!$A$46:$F$120,3,0),""))&amp;""</f>
        <v/>
      </c>
      <c r="E136" s="242" t="str">
        <f aca="false">IFERROR(VLOOKUP($B136,'Institution Evaluation'!$A$55:$F$346,4,0),IFERROR(VLOOKUP($B136,'Privacy Analyst Evaluation'!$A$46:$F$120,4,0),""))&amp;""</f>
        <v/>
      </c>
      <c r="F136" s="242" t="str">
        <f aca="false">IFERROR(VLOOKUP($B136,'Institution Evaluation'!$A$55:$F$346,6,0),IFERROR(VLOOKUP($B136,'Privacy Analyst Evaluation'!$A$46:$F$120,6,0),""))&amp;""</f>
        <v/>
      </c>
      <c r="G136" s="243"/>
      <c r="H136" s="242" t="str">
        <f aca="false">IFERROR(IF($H135+1&gt;'(backend scoring)'!$Q$335,"",$H135+1),"")</f>
        <v/>
      </c>
      <c r="I136" s="242" t="str">
        <f aca="false">_xlfn.XLOOKUP($H136,'(backend scoring)'!$S$2:$S$333,'(backend scoring)'!$A$2:$A$333,"")</f>
        <v/>
      </c>
      <c r="J136" s="242" t="str">
        <f aca="false">IFERROR(VLOOKUP($I136,'Institution Evaluation'!$A$55:$F$346,2,0),IFERROR(VLOOKUP($I136,'Privacy Analyst Evaluation'!$A$46:$F$120,2,0),""))</f>
        <v/>
      </c>
      <c r="K136" s="242" t="str">
        <f aca="false">IFERROR(VLOOKUP($I136,'Institution Evaluation'!$A$55:$F$346,3,0),IFERROR(VLOOKUP($I136,'Privacy Analyst Evaluation'!$A$46:$F$120,3,0),""))&amp;""</f>
        <v/>
      </c>
      <c r="L136" s="242" t="str">
        <f aca="false">IFERROR(VLOOKUP($I136,'Institution Evaluation'!$A$55:$F$346,4,0),IFERROR(VLOOKUP($I136,'Privacy Analyst Evaluation'!$A$46:$F$120,4,0),""))&amp;""</f>
        <v/>
      </c>
      <c r="M136" s="242" t="str">
        <f aca="false">IFERROR(VLOOKUP($I136,'Institution Evaluation'!$A$55:$F$346,6,0),IFERROR(VLOOKUP($I136,'Privacy Analyst Evaluation'!$A$46:$F$120,6,0),""))&amp;""</f>
        <v/>
      </c>
    </row>
    <row r="137" customFormat="false" ht="15" hidden="false" customHeight="false" outlineLevel="0" collapsed="false">
      <c r="A137" s="242" t="str">
        <f aca="false">IFERROR(IF($A136+1&gt;'(backend scoring)'!$T$335,"",$A136+1),"")</f>
        <v/>
      </c>
      <c r="B137" s="242" t="str">
        <f aca="false">_xlfn.XLOOKUP($A137,'(backend scoring)'!$V$2:$V$333,'(backend scoring)'!$A$2:$A$333,"")</f>
        <v/>
      </c>
      <c r="C137" s="242" t="str">
        <f aca="false">IFERROR(VLOOKUP($B137,'Institution Evaluation'!$A$55:$F$346,2,0),IFERROR(VLOOKUP($B137,'Privacy Analyst Evaluation'!$A$46:$F$120,2,0),""))&amp;""</f>
        <v/>
      </c>
      <c r="D137" s="242" t="str">
        <f aca="false">IFERROR(VLOOKUP($B137,'Institution Evaluation'!$A$55:$F$346,3,0),IFERROR(VLOOKUP($B137,'Privacy Analyst Evaluation'!$A$46:$F$120,3,0),""))&amp;""</f>
        <v/>
      </c>
      <c r="E137" s="242" t="str">
        <f aca="false">IFERROR(VLOOKUP($B137,'Institution Evaluation'!$A$55:$F$346,4,0),IFERROR(VLOOKUP($B137,'Privacy Analyst Evaluation'!$A$46:$F$120,4,0),""))&amp;""</f>
        <v/>
      </c>
      <c r="F137" s="242" t="str">
        <f aca="false">IFERROR(VLOOKUP($B137,'Institution Evaluation'!$A$55:$F$346,6,0),IFERROR(VLOOKUP($B137,'Privacy Analyst Evaluation'!$A$46:$F$120,6,0),""))&amp;""</f>
        <v/>
      </c>
      <c r="G137" s="243"/>
      <c r="H137" s="242" t="str">
        <f aca="false">IFERROR(IF($H136+1&gt;'(backend scoring)'!$Q$335,"",$H136+1),"")</f>
        <v/>
      </c>
      <c r="I137" s="242" t="str">
        <f aca="false">_xlfn.XLOOKUP($H137,'(backend scoring)'!$S$2:$S$333,'(backend scoring)'!$A$2:$A$333,"")</f>
        <v/>
      </c>
      <c r="J137" s="242" t="str">
        <f aca="false">IFERROR(VLOOKUP($I137,'Institution Evaluation'!$A$55:$F$346,2,0),IFERROR(VLOOKUP($I137,'Privacy Analyst Evaluation'!$A$46:$F$120,2,0),""))</f>
        <v/>
      </c>
      <c r="K137" s="242" t="str">
        <f aca="false">IFERROR(VLOOKUP($I137,'Institution Evaluation'!$A$55:$F$346,3,0),IFERROR(VLOOKUP($I137,'Privacy Analyst Evaluation'!$A$46:$F$120,3,0),""))&amp;""</f>
        <v/>
      </c>
      <c r="L137" s="242" t="str">
        <f aca="false">IFERROR(VLOOKUP($I137,'Institution Evaluation'!$A$55:$F$346,4,0),IFERROR(VLOOKUP($I137,'Privacy Analyst Evaluation'!$A$46:$F$120,4,0),""))&amp;""</f>
        <v/>
      </c>
      <c r="M137" s="242" t="str">
        <f aca="false">IFERROR(VLOOKUP($I137,'Institution Evaluation'!$A$55:$F$346,6,0),IFERROR(VLOOKUP($I137,'Privacy Analyst Evaluation'!$A$46:$F$120,6,0),""))&amp;""</f>
        <v/>
      </c>
    </row>
    <row r="138" customFormat="false" ht="15" hidden="false" customHeight="false" outlineLevel="0" collapsed="false">
      <c r="A138" s="242" t="str">
        <f aca="false">IFERROR(IF($A137+1&gt;'(backend scoring)'!$T$335,"",$A137+1),"")</f>
        <v/>
      </c>
      <c r="B138" s="242" t="str">
        <f aca="false">_xlfn.XLOOKUP($A138,'(backend scoring)'!$V$2:$V$333,'(backend scoring)'!$A$2:$A$333,"")</f>
        <v/>
      </c>
      <c r="C138" s="242" t="str">
        <f aca="false">IFERROR(VLOOKUP($B138,'Institution Evaluation'!$A$55:$F$346,2,0),IFERROR(VLOOKUP($B138,'Privacy Analyst Evaluation'!$A$46:$F$120,2,0),""))&amp;""</f>
        <v/>
      </c>
      <c r="D138" s="242" t="str">
        <f aca="false">IFERROR(VLOOKUP($B138,'Institution Evaluation'!$A$55:$F$346,3,0),IFERROR(VLOOKUP($B138,'Privacy Analyst Evaluation'!$A$46:$F$120,3,0),""))&amp;""</f>
        <v/>
      </c>
      <c r="E138" s="242" t="str">
        <f aca="false">IFERROR(VLOOKUP($B138,'Institution Evaluation'!$A$55:$F$346,4,0),IFERROR(VLOOKUP($B138,'Privacy Analyst Evaluation'!$A$46:$F$120,4,0),""))&amp;""</f>
        <v/>
      </c>
      <c r="F138" s="242" t="str">
        <f aca="false">IFERROR(VLOOKUP($B138,'Institution Evaluation'!$A$55:$F$346,6,0),IFERROR(VLOOKUP($B138,'Privacy Analyst Evaluation'!$A$46:$F$120,6,0),""))&amp;""</f>
        <v/>
      </c>
      <c r="G138" s="243"/>
      <c r="H138" s="242" t="str">
        <f aca="false">IFERROR(IF($H137+1&gt;'(backend scoring)'!$Q$335,"",$H137+1),"")</f>
        <v/>
      </c>
      <c r="I138" s="242" t="str">
        <f aca="false">_xlfn.XLOOKUP($H138,'(backend scoring)'!$S$2:$S$333,'(backend scoring)'!$A$2:$A$333,"")</f>
        <v/>
      </c>
      <c r="J138" s="242" t="str">
        <f aca="false">IFERROR(VLOOKUP($I138,'Institution Evaluation'!$A$55:$F$346,2,0),IFERROR(VLOOKUP($I138,'Privacy Analyst Evaluation'!$A$46:$F$120,2,0),""))</f>
        <v/>
      </c>
      <c r="K138" s="242" t="str">
        <f aca="false">IFERROR(VLOOKUP($I138,'Institution Evaluation'!$A$55:$F$346,3,0),IFERROR(VLOOKUP($I138,'Privacy Analyst Evaluation'!$A$46:$F$120,3,0),""))&amp;""</f>
        <v/>
      </c>
      <c r="L138" s="242" t="str">
        <f aca="false">IFERROR(VLOOKUP($I138,'Institution Evaluation'!$A$55:$F$346,4,0),IFERROR(VLOOKUP($I138,'Privacy Analyst Evaluation'!$A$46:$F$120,4,0),""))&amp;""</f>
        <v/>
      </c>
      <c r="M138" s="242" t="str">
        <f aca="false">IFERROR(VLOOKUP($I138,'Institution Evaluation'!$A$55:$F$346,6,0),IFERROR(VLOOKUP($I138,'Privacy Analyst Evaluation'!$A$46:$F$120,6,0),""))&amp;""</f>
        <v/>
      </c>
    </row>
    <row r="139" customFormat="false" ht="15" hidden="false" customHeight="false" outlineLevel="0" collapsed="false">
      <c r="A139" s="242" t="str">
        <f aca="false">IFERROR(IF($A138+1&gt;'(backend scoring)'!$T$335,"",$A138+1),"")</f>
        <v/>
      </c>
      <c r="B139" s="242" t="str">
        <f aca="false">_xlfn.XLOOKUP($A139,'(backend scoring)'!$V$2:$V$333,'(backend scoring)'!$A$2:$A$333,"")</f>
        <v/>
      </c>
      <c r="C139" s="242" t="str">
        <f aca="false">IFERROR(VLOOKUP($B139,'Institution Evaluation'!$A$55:$F$346,2,0),IFERROR(VLOOKUP($B139,'Privacy Analyst Evaluation'!$A$46:$F$120,2,0),""))&amp;""</f>
        <v/>
      </c>
      <c r="D139" s="242" t="str">
        <f aca="false">IFERROR(VLOOKUP($B139,'Institution Evaluation'!$A$55:$F$346,3,0),IFERROR(VLOOKUP($B139,'Privacy Analyst Evaluation'!$A$46:$F$120,3,0),""))&amp;""</f>
        <v/>
      </c>
      <c r="E139" s="242" t="str">
        <f aca="false">IFERROR(VLOOKUP($B139,'Institution Evaluation'!$A$55:$F$346,4,0),IFERROR(VLOOKUP($B139,'Privacy Analyst Evaluation'!$A$46:$F$120,4,0),""))&amp;""</f>
        <v/>
      </c>
      <c r="F139" s="242" t="str">
        <f aca="false">IFERROR(VLOOKUP($B139,'Institution Evaluation'!$A$55:$F$346,6,0),IFERROR(VLOOKUP($B139,'Privacy Analyst Evaluation'!$A$46:$F$120,6,0),""))&amp;""</f>
        <v/>
      </c>
      <c r="G139" s="243"/>
      <c r="H139" s="242" t="str">
        <f aca="false">IFERROR(IF($H138+1&gt;'(backend scoring)'!$Q$335,"",$H138+1),"")</f>
        <v/>
      </c>
      <c r="I139" s="242" t="str">
        <f aca="false">_xlfn.XLOOKUP($H139,'(backend scoring)'!$S$2:$S$333,'(backend scoring)'!$A$2:$A$333,"")</f>
        <v/>
      </c>
      <c r="J139" s="242" t="str">
        <f aca="false">IFERROR(VLOOKUP($I139,'Institution Evaluation'!$A$55:$F$346,2,0),IFERROR(VLOOKUP($I139,'Privacy Analyst Evaluation'!$A$46:$F$120,2,0),""))</f>
        <v/>
      </c>
      <c r="K139" s="242" t="str">
        <f aca="false">IFERROR(VLOOKUP($I139,'Institution Evaluation'!$A$55:$F$346,3,0),IFERROR(VLOOKUP($I139,'Privacy Analyst Evaluation'!$A$46:$F$120,3,0),""))&amp;""</f>
        <v/>
      </c>
      <c r="L139" s="242" t="str">
        <f aca="false">IFERROR(VLOOKUP($I139,'Institution Evaluation'!$A$55:$F$346,4,0),IFERROR(VLOOKUP($I139,'Privacy Analyst Evaluation'!$A$46:$F$120,4,0),""))&amp;""</f>
        <v/>
      </c>
      <c r="M139" s="242" t="str">
        <f aca="false">IFERROR(VLOOKUP($I139,'Institution Evaluation'!$A$55:$F$346,6,0),IFERROR(VLOOKUP($I139,'Privacy Analyst Evaluation'!$A$46:$F$120,6,0),""))&amp;""</f>
        <v/>
      </c>
    </row>
    <row r="140" customFormat="false" ht="15" hidden="false" customHeight="false" outlineLevel="0" collapsed="false">
      <c r="A140" s="242" t="str">
        <f aca="false">IFERROR(IF($A139+1&gt;'(backend scoring)'!$T$335,"",$A139+1),"")</f>
        <v/>
      </c>
      <c r="B140" s="242" t="str">
        <f aca="false">_xlfn.XLOOKUP($A140,'(backend scoring)'!$V$2:$V$333,'(backend scoring)'!$A$2:$A$333,"")</f>
        <v/>
      </c>
      <c r="C140" s="242" t="str">
        <f aca="false">IFERROR(VLOOKUP($B140,'Institution Evaluation'!$A$55:$F$346,2,0),IFERROR(VLOOKUP($B140,'Privacy Analyst Evaluation'!$A$46:$F$120,2,0),""))&amp;""</f>
        <v/>
      </c>
      <c r="D140" s="242" t="str">
        <f aca="false">IFERROR(VLOOKUP($B140,'Institution Evaluation'!$A$55:$F$346,3,0),IFERROR(VLOOKUP($B140,'Privacy Analyst Evaluation'!$A$46:$F$120,3,0),""))&amp;""</f>
        <v/>
      </c>
      <c r="E140" s="242" t="str">
        <f aca="false">IFERROR(VLOOKUP($B140,'Institution Evaluation'!$A$55:$F$346,4,0),IFERROR(VLOOKUP($B140,'Privacy Analyst Evaluation'!$A$46:$F$120,4,0),""))&amp;""</f>
        <v/>
      </c>
      <c r="F140" s="242" t="str">
        <f aca="false">IFERROR(VLOOKUP($B140,'Institution Evaluation'!$A$55:$F$346,6,0),IFERROR(VLOOKUP($B140,'Privacy Analyst Evaluation'!$A$46:$F$120,6,0),""))&amp;""</f>
        <v/>
      </c>
      <c r="G140" s="243"/>
      <c r="H140" s="242" t="str">
        <f aca="false">IFERROR(IF($H139+1&gt;'(backend scoring)'!$Q$335,"",$H139+1),"")</f>
        <v/>
      </c>
      <c r="I140" s="242" t="str">
        <f aca="false">_xlfn.XLOOKUP($H140,'(backend scoring)'!$S$2:$S$333,'(backend scoring)'!$A$2:$A$333,"")</f>
        <v/>
      </c>
      <c r="J140" s="242" t="str">
        <f aca="false">IFERROR(VLOOKUP($I140,'Institution Evaluation'!$A$55:$F$346,2,0),IFERROR(VLOOKUP($I140,'Privacy Analyst Evaluation'!$A$46:$F$120,2,0),""))</f>
        <v/>
      </c>
      <c r="K140" s="242" t="str">
        <f aca="false">IFERROR(VLOOKUP($I140,'Institution Evaluation'!$A$55:$F$346,3,0),IFERROR(VLOOKUP($I140,'Privacy Analyst Evaluation'!$A$46:$F$120,3,0),""))&amp;""</f>
        <v/>
      </c>
      <c r="L140" s="242" t="str">
        <f aca="false">IFERROR(VLOOKUP($I140,'Institution Evaluation'!$A$55:$F$346,4,0),IFERROR(VLOOKUP($I140,'Privacy Analyst Evaluation'!$A$46:$F$120,4,0),""))&amp;""</f>
        <v/>
      </c>
      <c r="M140" s="242" t="str">
        <f aca="false">IFERROR(VLOOKUP($I140,'Institution Evaluation'!$A$55:$F$346,6,0),IFERROR(VLOOKUP($I140,'Privacy Analyst Evaluation'!$A$46:$F$120,6,0),""))&amp;""</f>
        <v/>
      </c>
    </row>
    <row r="141" customFormat="false" ht="15" hidden="false" customHeight="false" outlineLevel="0" collapsed="false">
      <c r="A141" s="242" t="str">
        <f aca="false">IFERROR(IF($A140+1&gt;'(backend scoring)'!$T$335,"",$A140+1),"")</f>
        <v/>
      </c>
      <c r="B141" s="242" t="str">
        <f aca="false">_xlfn.XLOOKUP($A141,'(backend scoring)'!$V$2:$V$333,'(backend scoring)'!$A$2:$A$333,"")</f>
        <v/>
      </c>
      <c r="C141" s="242" t="str">
        <f aca="false">IFERROR(VLOOKUP($B141,'Institution Evaluation'!$A$55:$F$346,2,0),IFERROR(VLOOKUP($B141,'Privacy Analyst Evaluation'!$A$46:$F$120,2,0),""))&amp;""</f>
        <v/>
      </c>
      <c r="D141" s="242" t="str">
        <f aca="false">IFERROR(VLOOKUP($B141,'Institution Evaluation'!$A$55:$F$346,3,0),IFERROR(VLOOKUP($B141,'Privacy Analyst Evaluation'!$A$46:$F$120,3,0),""))&amp;""</f>
        <v/>
      </c>
      <c r="E141" s="242" t="str">
        <f aca="false">IFERROR(VLOOKUP($B141,'Institution Evaluation'!$A$55:$F$346,4,0),IFERROR(VLOOKUP($B141,'Privacy Analyst Evaluation'!$A$46:$F$120,4,0),""))&amp;""</f>
        <v/>
      </c>
      <c r="F141" s="242" t="str">
        <f aca="false">IFERROR(VLOOKUP($B141,'Institution Evaluation'!$A$55:$F$346,6,0),IFERROR(VLOOKUP($B141,'Privacy Analyst Evaluation'!$A$46:$F$120,6,0),""))&amp;""</f>
        <v/>
      </c>
      <c r="G141" s="243"/>
      <c r="H141" s="242" t="str">
        <f aca="false">IFERROR(IF($H140+1&gt;'(backend scoring)'!$Q$335,"",$H140+1),"")</f>
        <v/>
      </c>
      <c r="I141" s="242" t="str">
        <f aca="false">_xlfn.XLOOKUP($H141,'(backend scoring)'!$S$2:$S$333,'(backend scoring)'!$A$2:$A$333,"")</f>
        <v/>
      </c>
      <c r="J141" s="242" t="str">
        <f aca="false">IFERROR(VLOOKUP($I141,'Institution Evaluation'!$A$55:$F$346,2,0),IFERROR(VLOOKUP($I141,'Privacy Analyst Evaluation'!$A$46:$F$120,2,0),""))</f>
        <v/>
      </c>
      <c r="K141" s="242" t="str">
        <f aca="false">IFERROR(VLOOKUP($I141,'Institution Evaluation'!$A$55:$F$346,3,0),IFERROR(VLOOKUP($I141,'Privacy Analyst Evaluation'!$A$46:$F$120,3,0),""))&amp;""</f>
        <v/>
      </c>
      <c r="L141" s="242" t="str">
        <f aca="false">IFERROR(VLOOKUP($I141,'Institution Evaluation'!$A$55:$F$346,4,0),IFERROR(VLOOKUP($I141,'Privacy Analyst Evaluation'!$A$46:$F$120,4,0),""))&amp;""</f>
        <v/>
      </c>
      <c r="M141" s="242" t="str">
        <f aca="false">IFERROR(VLOOKUP($I141,'Institution Evaluation'!$A$55:$F$346,6,0),IFERROR(VLOOKUP($I141,'Privacy Analyst Evaluation'!$A$46:$F$120,6,0),""))&amp;""</f>
        <v/>
      </c>
    </row>
    <row r="142" customFormat="false" ht="15" hidden="false" customHeight="false" outlineLevel="0" collapsed="false">
      <c r="A142" s="242" t="str">
        <f aca="false">IFERROR(IF($A141+1&gt;'(backend scoring)'!$T$335,"",$A141+1),"")</f>
        <v/>
      </c>
      <c r="B142" s="242" t="str">
        <f aca="false">_xlfn.XLOOKUP($A142,'(backend scoring)'!$V$2:$V$333,'(backend scoring)'!$A$2:$A$333,"")</f>
        <v/>
      </c>
      <c r="C142" s="242" t="str">
        <f aca="false">IFERROR(VLOOKUP($B142,'Institution Evaluation'!$A$55:$F$346,2,0),IFERROR(VLOOKUP($B142,'Privacy Analyst Evaluation'!$A$46:$F$120,2,0),""))&amp;""</f>
        <v/>
      </c>
      <c r="D142" s="242" t="str">
        <f aca="false">IFERROR(VLOOKUP($B142,'Institution Evaluation'!$A$55:$F$346,3,0),IFERROR(VLOOKUP($B142,'Privacy Analyst Evaluation'!$A$46:$F$120,3,0),""))&amp;""</f>
        <v/>
      </c>
      <c r="E142" s="242" t="str">
        <f aca="false">IFERROR(VLOOKUP($B142,'Institution Evaluation'!$A$55:$F$346,4,0),IFERROR(VLOOKUP($B142,'Privacy Analyst Evaluation'!$A$46:$F$120,4,0),""))&amp;""</f>
        <v/>
      </c>
      <c r="F142" s="242" t="str">
        <f aca="false">IFERROR(VLOOKUP($B142,'Institution Evaluation'!$A$55:$F$346,6,0),IFERROR(VLOOKUP($B142,'Privacy Analyst Evaluation'!$A$46:$F$120,6,0),""))&amp;""</f>
        <v/>
      </c>
      <c r="G142" s="243"/>
      <c r="H142" s="242" t="str">
        <f aca="false">IFERROR(IF($H141+1&gt;'(backend scoring)'!$Q$335,"",$H141+1),"")</f>
        <v/>
      </c>
      <c r="I142" s="242" t="str">
        <f aca="false">_xlfn.XLOOKUP($H142,'(backend scoring)'!$S$2:$S$333,'(backend scoring)'!$A$2:$A$333,"")</f>
        <v/>
      </c>
      <c r="J142" s="242" t="str">
        <f aca="false">IFERROR(VLOOKUP($I142,'Institution Evaluation'!$A$55:$F$346,2,0),IFERROR(VLOOKUP($I142,'Privacy Analyst Evaluation'!$A$46:$F$120,2,0),""))</f>
        <v/>
      </c>
      <c r="K142" s="242" t="str">
        <f aca="false">IFERROR(VLOOKUP($I142,'Institution Evaluation'!$A$55:$F$346,3,0),IFERROR(VLOOKUP($I142,'Privacy Analyst Evaluation'!$A$46:$F$120,3,0),""))&amp;""</f>
        <v/>
      </c>
      <c r="L142" s="242" t="str">
        <f aca="false">IFERROR(VLOOKUP($I142,'Institution Evaluation'!$A$55:$F$346,4,0),IFERROR(VLOOKUP($I142,'Privacy Analyst Evaluation'!$A$46:$F$120,4,0),""))&amp;""</f>
        <v/>
      </c>
      <c r="M142" s="242" t="str">
        <f aca="false">IFERROR(VLOOKUP($I142,'Institution Evaluation'!$A$55:$F$346,6,0),IFERROR(VLOOKUP($I142,'Privacy Analyst Evaluation'!$A$46:$F$120,6,0),""))&amp;""</f>
        <v/>
      </c>
    </row>
    <row r="143" customFormat="false" ht="15" hidden="false" customHeight="false" outlineLevel="0" collapsed="false">
      <c r="A143" s="242" t="str">
        <f aca="false">IFERROR(IF($A142+1&gt;'(backend scoring)'!$T$335,"",$A142+1),"")</f>
        <v/>
      </c>
      <c r="B143" s="242" t="str">
        <f aca="false">_xlfn.XLOOKUP($A143,'(backend scoring)'!$V$2:$V$333,'(backend scoring)'!$A$2:$A$333,"")</f>
        <v/>
      </c>
      <c r="C143" s="242" t="str">
        <f aca="false">IFERROR(VLOOKUP($B143,'Institution Evaluation'!$A$55:$F$346,2,0),IFERROR(VLOOKUP($B143,'Privacy Analyst Evaluation'!$A$46:$F$120,2,0),""))&amp;""</f>
        <v/>
      </c>
      <c r="D143" s="242" t="str">
        <f aca="false">IFERROR(VLOOKUP($B143,'Institution Evaluation'!$A$55:$F$346,3,0),IFERROR(VLOOKUP($B143,'Privacy Analyst Evaluation'!$A$46:$F$120,3,0),""))&amp;""</f>
        <v/>
      </c>
      <c r="E143" s="242" t="str">
        <f aca="false">IFERROR(VLOOKUP($B143,'Institution Evaluation'!$A$55:$F$346,4,0),IFERROR(VLOOKUP($B143,'Privacy Analyst Evaluation'!$A$46:$F$120,4,0),""))&amp;""</f>
        <v/>
      </c>
      <c r="F143" s="242" t="str">
        <f aca="false">IFERROR(VLOOKUP($B143,'Institution Evaluation'!$A$55:$F$346,6,0),IFERROR(VLOOKUP($B143,'Privacy Analyst Evaluation'!$A$46:$F$120,6,0),""))&amp;""</f>
        <v/>
      </c>
      <c r="G143" s="243"/>
      <c r="H143" s="242" t="str">
        <f aca="false">IFERROR(IF($H142+1&gt;'(backend scoring)'!$Q$335,"",$H142+1),"")</f>
        <v/>
      </c>
      <c r="I143" s="242" t="str">
        <f aca="false">_xlfn.XLOOKUP($H143,'(backend scoring)'!$S$2:$S$333,'(backend scoring)'!$A$2:$A$333,"")</f>
        <v/>
      </c>
      <c r="J143" s="242" t="str">
        <f aca="false">IFERROR(VLOOKUP($I143,'Institution Evaluation'!$A$55:$F$346,2,0),IFERROR(VLOOKUP($I143,'Privacy Analyst Evaluation'!$A$46:$F$120,2,0),""))</f>
        <v/>
      </c>
      <c r="K143" s="242" t="str">
        <f aca="false">IFERROR(VLOOKUP($I143,'Institution Evaluation'!$A$55:$F$346,3,0),IFERROR(VLOOKUP($I143,'Privacy Analyst Evaluation'!$A$46:$F$120,3,0),""))&amp;""</f>
        <v/>
      </c>
      <c r="L143" s="242" t="str">
        <f aca="false">IFERROR(VLOOKUP($I143,'Institution Evaluation'!$A$55:$F$346,4,0),IFERROR(VLOOKUP($I143,'Privacy Analyst Evaluation'!$A$46:$F$120,4,0),""))&amp;""</f>
        <v/>
      </c>
      <c r="M143" s="242" t="str">
        <f aca="false">IFERROR(VLOOKUP($I143,'Institution Evaluation'!$A$55:$F$346,6,0),IFERROR(VLOOKUP($I143,'Privacy Analyst Evaluation'!$A$46:$F$120,6,0),""))&amp;""</f>
        <v/>
      </c>
    </row>
    <row r="144" customFormat="false" ht="15" hidden="false" customHeight="false" outlineLevel="0" collapsed="false">
      <c r="A144" s="242" t="str">
        <f aca="false">IFERROR(IF($A143+1&gt;'(backend scoring)'!$T$335,"",$A143+1),"")</f>
        <v/>
      </c>
      <c r="B144" s="242" t="str">
        <f aca="false">_xlfn.XLOOKUP($A144,'(backend scoring)'!$V$2:$V$333,'(backend scoring)'!$A$2:$A$333,"")</f>
        <v/>
      </c>
      <c r="C144" s="242" t="str">
        <f aca="false">IFERROR(VLOOKUP($B144,'Institution Evaluation'!$A$55:$F$346,2,0),IFERROR(VLOOKUP($B144,'Privacy Analyst Evaluation'!$A$46:$F$120,2,0),""))&amp;""</f>
        <v/>
      </c>
      <c r="D144" s="242" t="str">
        <f aca="false">IFERROR(VLOOKUP($B144,'Institution Evaluation'!$A$55:$F$346,3,0),IFERROR(VLOOKUP($B144,'Privacy Analyst Evaluation'!$A$46:$F$120,3,0),""))&amp;""</f>
        <v/>
      </c>
      <c r="E144" s="242" t="str">
        <f aca="false">IFERROR(VLOOKUP($B144,'Institution Evaluation'!$A$55:$F$346,4,0),IFERROR(VLOOKUP($B144,'Privacy Analyst Evaluation'!$A$46:$F$120,4,0),""))&amp;""</f>
        <v/>
      </c>
      <c r="F144" s="242" t="str">
        <f aca="false">IFERROR(VLOOKUP($B144,'Institution Evaluation'!$A$55:$F$346,6,0),IFERROR(VLOOKUP($B144,'Privacy Analyst Evaluation'!$A$46:$F$120,6,0),""))&amp;""</f>
        <v/>
      </c>
      <c r="G144" s="243"/>
      <c r="H144" s="242" t="str">
        <f aca="false">IFERROR(IF($H143+1&gt;'(backend scoring)'!$Q$335,"",$H143+1),"")</f>
        <v/>
      </c>
      <c r="I144" s="242" t="str">
        <f aca="false">_xlfn.XLOOKUP($H144,'(backend scoring)'!$S$2:$S$333,'(backend scoring)'!$A$2:$A$333,"")</f>
        <v/>
      </c>
      <c r="J144" s="242" t="str">
        <f aca="false">IFERROR(VLOOKUP($I144,'Institution Evaluation'!$A$55:$F$346,2,0),IFERROR(VLOOKUP($I144,'Privacy Analyst Evaluation'!$A$46:$F$120,2,0),""))</f>
        <v/>
      </c>
      <c r="K144" s="242" t="str">
        <f aca="false">IFERROR(VLOOKUP($I144,'Institution Evaluation'!$A$55:$F$346,3,0),IFERROR(VLOOKUP($I144,'Privacy Analyst Evaluation'!$A$46:$F$120,3,0),""))&amp;""</f>
        <v/>
      </c>
      <c r="L144" s="242" t="str">
        <f aca="false">IFERROR(VLOOKUP($I144,'Institution Evaluation'!$A$55:$F$346,4,0),IFERROR(VLOOKUP($I144,'Privacy Analyst Evaluation'!$A$46:$F$120,4,0),""))&amp;""</f>
        <v/>
      </c>
      <c r="M144" s="242" t="str">
        <f aca="false">IFERROR(VLOOKUP($I144,'Institution Evaluation'!$A$55:$F$346,6,0),IFERROR(VLOOKUP($I144,'Privacy Analyst Evaluation'!$A$46:$F$120,6,0),""))&amp;""</f>
        <v/>
      </c>
    </row>
    <row r="145" customFormat="false" ht="15" hidden="false" customHeight="false" outlineLevel="0" collapsed="false">
      <c r="A145" s="242" t="str">
        <f aca="false">IFERROR(IF($A144+1&gt;'(backend scoring)'!$T$335,"",$A144+1),"")</f>
        <v/>
      </c>
      <c r="B145" s="242" t="str">
        <f aca="false">_xlfn.XLOOKUP($A145,'(backend scoring)'!$V$2:$V$333,'(backend scoring)'!$A$2:$A$333,"")</f>
        <v/>
      </c>
      <c r="C145" s="242" t="str">
        <f aca="false">IFERROR(VLOOKUP($B145,'Institution Evaluation'!$A$55:$F$346,2,0),IFERROR(VLOOKUP($B145,'Privacy Analyst Evaluation'!$A$46:$F$120,2,0),""))&amp;""</f>
        <v/>
      </c>
      <c r="D145" s="242" t="str">
        <f aca="false">IFERROR(VLOOKUP($B145,'Institution Evaluation'!$A$55:$F$346,3,0),IFERROR(VLOOKUP($B145,'Privacy Analyst Evaluation'!$A$46:$F$120,3,0),""))&amp;""</f>
        <v/>
      </c>
      <c r="E145" s="242" t="str">
        <f aca="false">IFERROR(VLOOKUP($B145,'Institution Evaluation'!$A$55:$F$346,4,0),IFERROR(VLOOKUP($B145,'Privacy Analyst Evaluation'!$A$46:$F$120,4,0),""))&amp;""</f>
        <v/>
      </c>
      <c r="F145" s="242" t="str">
        <f aca="false">IFERROR(VLOOKUP($B145,'Institution Evaluation'!$A$55:$F$346,6,0),IFERROR(VLOOKUP($B145,'Privacy Analyst Evaluation'!$A$46:$F$120,6,0),""))&amp;""</f>
        <v/>
      </c>
      <c r="G145" s="243"/>
      <c r="H145" s="242" t="str">
        <f aca="false">IFERROR(IF($H144+1&gt;'(backend scoring)'!$Q$335,"",$H144+1),"")</f>
        <v/>
      </c>
      <c r="I145" s="242" t="str">
        <f aca="false">_xlfn.XLOOKUP($H145,'(backend scoring)'!$S$2:$S$333,'(backend scoring)'!$A$2:$A$333,"")</f>
        <v/>
      </c>
      <c r="J145" s="242" t="str">
        <f aca="false">IFERROR(VLOOKUP($I145,'Institution Evaluation'!$A$55:$F$346,2,0),IFERROR(VLOOKUP($I145,'Privacy Analyst Evaluation'!$A$46:$F$120,2,0),""))</f>
        <v/>
      </c>
      <c r="K145" s="242" t="str">
        <f aca="false">IFERROR(VLOOKUP($I145,'Institution Evaluation'!$A$55:$F$346,3,0),IFERROR(VLOOKUP($I145,'Privacy Analyst Evaluation'!$A$46:$F$120,3,0),""))&amp;""</f>
        <v/>
      </c>
      <c r="L145" s="242" t="str">
        <f aca="false">IFERROR(VLOOKUP($I145,'Institution Evaluation'!$A$55:$F$346,4,0),IFERROR(VLOOKUP($I145,'Privacy Analyst Evaluation'!$A$46:$F$120,4,0),""))&amp;""</f>
        <v/>
      </c>
      <c r="M145" s="242" t="str">
        <f aca="false">IFERROR(VLOOKUP($I145,'Institution Evaluation'!$A$55:$F$346,6,0),IFERROR(VLOOKUP($I145,'Privacy Analyst Evaluation'!$A$46:$F$120,6,0),""))&amp;""</f>
        <v/>
      </c>
    </row>
    <row r="146" customFormat="false" ht="15" hidden="false" customHeight="false" outlineLevel="0" collapsed="false">
      <c r="A146" s="242" t="str">
        <f aca="false">IFERROR(IF($A145+1&gt;'(backend scoring)'!$T$335,"",$A145+1),"")</f>
        <v/>
      </c>
      <c r="B146" s="242" t="str">
        <f aca="false">_xlfn.XLOOKUP($A146,'(backend scoring)'!$V$2:$V$333,'(backend scoring)'!$A$2:$A$333,"")</f>
        <v/>
      </c>
      <c r="C146" s="242" t="str">
        <f aca="false">IFERROR(VLOOKUP($B146,'Institution Evaluation'!$A$55:$F$346,2,0),IFERROR(VLOOKUP($B146,'Privacy Analyst Evaluation'!$A$46:$F$120,2,0),""))&amp;""</f>
        <v/>
      </c>
      <c r="D146" s="242" t="str">
        <f aca="false">IFERROR(VLOOKUP($B146,'Institution Evaluation'!$A$55:$F$346,3,0),IFERROR(VLOOKUP($B146,'Privacy Analyst Evaluation'!$A$46:$F$120,3,0),""))&amp;""</f>
        <v/>
      </c>
      <c r="E146" s="242" t="str">
        <f aca="false">IFERROR(VLOOKUP($B146,'Institution Evaluation'!$A$55:$F$346,4,0),IFERROR(VLOOKUP($B146,'Privacy Analyst Evaluation'!$A$46:$F$120,4,0),""))&amp;""</f>
        <v/>
      </c>
      <c r="F146" s="242" t="str">
        <f aca="false">IFERROR(VLOOKUP($B146,'Institution Evaluation'!$A$55:$F$346,6,0),IFERROR(VLOOKUP($B146,'Privacy Analyst Evaluation'!$A$46:$F$120,6,0),""))&amp;""</f>
        <v/>
      </c>
      <c r="G146" s="243"/>
      <c r="H146" s="242" t="str">
        <f aca="false">IFERROR(IF($H145+1&gt;'(backend scoring)'!$Q$335,"",$H145+1),"")</f>
        <v/>
      </c>
      <c r="I146" s="242" t="str">
        <f aca="false">_xlfn.XLOOKUP($H146,'(backend scoring)'!$S$2:$S$333,'(backend scoring)'!$A$2:$A$333,"")</f>
        <v/>
      </c>
      <c r="J146" s="242" t="str">
        <f aca="false">IFERROR(VLOOKUP($I146,'Institution Evaluation'!$A$55:$F$346,2,0),IFERROR(VLOOKUP($I146,'Privacy Analyst Evaluation'!$A$46:$F$120,2,0),""))</f>
        <v/>
      </c>
      <c r="K146" s="242" t="str">
        <f aca="false">IFERROR(VLOOKUP($I146,'Institution Evaluation'!$A$55:$F$346,3,0),IFERROR(VLOOKUP($I146,'Privacy Analyst Evaluation'!$A$46:$F$120,3,0),""))&amp;""</f>
        <v/>
      </c>
      <c r="L146" s="242" t="str">
        <f aca="false">IFERROR(VLOOKUP($I146,'Institution Evaluation'!$A$55:$F$346,4,0),IFERROR(VLOOKUP($I146,'Privacy Analyst Evaluation'!$A$46:$F$120,4,0),""))&amp;""</f>
        <v/>
      </c>
      <c r="M146" s="242" t="str">
        <f aca="false">IFERROR(VLOOKUP($I146,'Institution Evaluation'!$A$55:$F$346,6,0),IFERROR(VLOOKUP($I146,'Privacy Analyst Evaluation'!$A$46:$F$120,6,0),""))&amp;""</f>
        <v/>
      </c>
    </row>
    <row r="147" customFormat="false" ht="15" hidden="false" customHeight="false" outlineLevel="0" collapsed="false">
      <c r="A147" s="242" t="str">
        <f aca="false">IFERROR(IF($A146+1&gt;'(backend scoring)'!$T$335,"",$A146+1),"")</f>
        <v/>
      </c>
      <c r="B147" s="242" t="str">
        <f aca="false">_xlfn.XLOOKUP($A147,'(backend scoring)'!$V$2:$V$333,'(backend scoring)'!$A$2:$A$333,"")</f>
        <v/>
      </c>
      <c r="C147" s="242" t="str">
        <f aca="false">IFERROR(VLOOKUP($B147,'Institution Evaluation'!$A$55:$F$346,2,0),IFERROR(VLOOKUP($B147,'Privacy Analyst Evaluation'!$A$46:$F$120,2,0),""))&amp;""</f>
        <v/>
      </c>
      <c r="D147" s="242" t="str">
        <f aca="false">IFERROR(VLOOKUP($B147,'Institution Evaluation'!$A$55:$F$346,3,0),IFERROR(VLOOKUP($B147,'Privacy Analyst Evaluation'!$A$46:$F$120,3,0),""))&amp;""</f>
        <v/>
      </c>
      <c r="E147" s="242" t="str">
        <f aca="false">IFERROR(VLOOKUP($B147,'Institution Evaluation'!$A$55:$F$346,4,0),IFERROR(VLOOKUP($B147,'Privacy Analyst Evaluation'!$A$46:$F$120,4,0),""))&amp;""</f>
        <v/>
      </c>
      <c r="F147" s="242" t="str">
        <f aca="false">IFERROR(VLOOKUP($B147,'Institution Evaluation'!$A$55:$F$346,6,0),IFERROR(VLOOKUP($B147,'Privacy Analyst Evaluation'!$A$46:$F$120,6,0),""))&amp;""</f>
        <v/>
      </c>
      <c r="G147" s="243"/>
      <c r="H147" s="242" t="str">
        <f aca="false">IFERROR(IF($H146+1&gt;'(backend scoring)'!$Q$335,"",$H146+1),"")</f>
        <v/>
      </c>
      <c r="I147" s="242" t="str">
        <f aca="false">_xlfn.XLOOKUP($H147,'(backend scoring)'!$S$2:$S$333,'(backend scoring)'!$A$2:$A$333,"")</f>
        <v/>
      </c>
      <c r="J147" s="242" t="str">
        <f aca="false">IFERROR(VLOOKUP($I147,'Institution Evaluation'!$A$55:$F$346,2,0),IFERROR(VLOOKUP($I147,'Privacy Analyst Evaluation'!$A$46:$F$120,2,0),""))</f>
        <v/>
      </c>
      <c r="K147" s="242" t="str">
        <f aca="false">IFERROR(VLOOKUP($I147,'Institution Evaluation'!$A$55:$F$346,3,0),IFERROR(VLOOKUP($I147,'Privacy Analyst Evaluation'!$A$46:$F$120,3,0),""))&amp;""</f>
        <v/>
      </c>
      <c r="L147" s="242" t="str">
        <f aca="false">IFERROR(VLOOKUP($I147,'Institution Evaluation'!$A$55:$F$346,4,0),IFERROR(VLOOKUP($I147,'Privacy Analyst Evaluation'!$A$46:$F$120,4,0),""))&amp;""</f>
        <v/>
      </c>
      <c r="M147" s="242" t="str">
        <f aca="false">IFERROR(VLOOKUP($I147,'Institution Evaluation'!$A$55:$F$346,6,0),IFERROR(VLOOKUP($I147,'Privacy Analyst Evaluation'!$A$46:$F$120,6,0),""))&amp;""</f>
        <v/>
      </c>
    </row>
    <row r="148" customFormat="false" ht="15" hidden="false" customHeight="false" outlineLevel="0" collapsed="false">
      <c r="A148" s="242" t="str">
        <f aca="false">IFERROR(IF($A147+1&gt;'(backend scoring)'!$T$335,"",$A147+1),"")</f>
        <v/>
      </c>
      <c r="B148" s="242" t="str">
        <f aca="false">_xlfn.XLOOKUP($A148,'(backend scoring)'!$V$2:$V$333,'(backend scoring)'!$A$2:$A$333,"")</f>
        <v/>
      </c>
      <c r="C148" s="242" t="str">
        <f aca="false">IFERROR(VLOOKUP($B148,'Institution Evaluation'!$A$55:$F$346,2,0),IFERROR(VLOOKUP($B148,'Privacy Analyst Evaluation'!$A$46:$F$120,2,0),""))&amp;""</f>
        <v/>
      </c>
      <c r="D148" s="242" t="str">
        <f aca="false">IFERROR(VLOOKUP($B148,'Institution Evaluation'!$A$55:$F$346,3,0),IFERROR(VLOOKUP($B148,'Privacy Analyst Evaluation'!$A$46:$F$120,3,0),""))&amp;""</f>
        <v/>
      </c>
      <c r="E148" s="242" t="str">
        <f aca="false">IFERROR(VLOOKUP($B148,'Institution Evaluation'!$A$55:$F$346,4,0),IFERROR(VLOOKUP($B148,'Privacy Analyst Evaluation'!$A$46:$F$120,4,0),""))&amp;""</f>
        <v/>
      </c>
      <c r="F148" s="242" t="str">
        <f aca="false">IFERROR(VLOOKUP($B148,'Institution Evaluation'!$A$55:$F$346,6,0),IFERROR(VLOOKUP($B148,'Privacy Analyst Evaluation'!$A$46:$F$120,6,0),""))&amp;""</f>
        <v/>
      </c>
      <c r="G148" s="243"/>
      <c r="H148" s="242" t="str">
        <f aca="false">IFERROR(IF($H147+1&gt;'(backend scoring)'!$Q$335,"",$H147+1),"")</f>
        <v/>
      </c>
      <c r="I148" s="242" t="str">
        <f aca="false">_xlfn.XLOOKUP($H148,'(backend scoring)'!$S$2:$S$333,'(backend scoring)'!$A$2:$A$333,"")</f>
        <v/>
      </c>
      <c r="J148" s="242" t="str">
        <f aca="false">IFERROR(VLOOKUP($I148,'Institution Evaluation'!$A$55:$F$346,2,0),IFERROR(VLOOKUP($I148,'Privacy Analyst Evaluation'!$A$46:$F$120,2,0),""))</f>
        <v/>
      </c>
      <c r="K148" s="242" t="str">
        <f aca="false">IFERROR(VLOOKUP($I148,'Institution Evaluation'!$A$55:$F$346,3,0),IFERROR(VLOOKUP($I148,'Privacy Analyst Evaluation'!$A$46:$F$120,3,0),""))&amp;""</f>
        <v/>
      </c>
      <c r="L148" s="242" t="str">
        <f aca="false">IFERROR(VLOOKUP($I148,'Institution Evaluation'!$A$55:$F$346,4,0),IFERROR(VLOOKUP($I148,'Privacy Analyst Evaluation'!$A$46:$F$120,4,0),""))&amp;""</f>
        <v/>
      </c>
      <c r="M148" s="242" t="str">
        <f aca="false">IFERROR(VLOOKUP($I148,'Institution Evaluation'!$A$55:$F$346,6,0),IFERROR(VLOOKUP($I148,'Privacy Analyst Evaluation'!$A$46:$F$120,6,0),""))&amp;""</f>
        <v/>
      </c>
    </row>
    <row r="149" customFormat="false" ht="15" hidden="false" customHeight="false" outlineLevel="0" collapsed="false">
      <c r="A149" s="242" t="str">
        <f aca="false">IFERROR(IF($A148+1&gt;'(backend scoring)'!$T$335,"",$A148+1),"")</f>
        <v/>
      </c>
      <c r="B149" s="242" t="str">
        <f aca="false">_xlfn.XLOOKUP($A149,'(backend scoring)'!$V$2:$V$333,'(backend scoring)'!$A$2:$A$333,"")</f>
        <v/>
      </c>
      <c r="C149" s="242" t="str">
        <f aca="false">IFERROR(VLOOKUP($B149,'Institution Evaluation'!$A$55:$F$346,2,0),IFERROR(VLOOKUP($B149,'Privacy Analyst Evaluation'!$A$46:$F$120,2,0),""))&amp;""</f>
        <v/>
      </c>
      <c r="D149" s="242" t="str">
        <f aca="false">IFERROR(VLOOKUP($B149,'Institution Evaluation'!$A$55:$F$346,3,0),IFERROR(VLOOKUP($B149,'Privacy Analyst Evaluation'!$A$46:$F$120,3,0),""))&amp;""</f>
        <v/>
      </c>
      <c r="E149" s="242" t="str">
        <f aca="false">IFERROR(VLOOKUP($B149,'Institution Evaluation'!$A$55:$F$346,4,0),IFERROR(VLOOKUP($B149,'Privacy Analyst Evaluation'!$A$46:$F$120,4,0),""))&amp;""</f>
        <v/>
      </c>
      <c r="F149" s="242" t="str">
        <f aca="false">IFERROR(VLOOKUP($B149,'Institution Evaluation'!$A$55:$F$346,6,0),IFERROR(VLOOKUP($B149,'Privacy Analyst Evaluation'!$A$46:$F$120,6,0),""))&amp;""</f>
        <v/>
      </c>
      <c r="G149" s="243"/>
      <c r="H149" s="242" t="str">
        <f aca="false">IFERROR(IF($H148+1&gt;'(backend scoring)'!$Q$335,"",$H148+1),"")</f>
        <v/>
      </c>
      <c r="I149" s="242" t="str">
        <f aca="false">_xlfn.XLOOKUP($H149,'(backend scoring)'!$S$2:$S$333,'(backend scoring)'!$A$2:$A$333,"")</f>
        <v/>
      </c>
      <c r="J149" s="242" t="str">
        <f aca="false">IFERROR(VLOOKUP($I149,'Institution Evaluation'!$A$55:$F$346,2,0),IFERROR(VLOOKUP($I149,'Privacy Analyst Evaluation'!$A$46:$F$120,2,0),""))</f>
        <v/>
      </c>
      <c r="K149" s="242" t="str">
        <f aca="false">IFERROR(VLOOKUP($I149,'Institution Evaluation'!$A$55:$F$346,3,0),IFERROR(VLOOKUP($I149,'Privacy Analyst Evaluation'!$A$46:$F$120,3,0),""))&amp;""</f>
        <v/>
      </c>
      <c r="L149" s="242" t="str">
        <f aca="false">IFERROR(VLOOKUP($I149,'Institution Evaluation'!$A$55:$F$346,4,0),IFERROR(VLOOKUP($I149,'Privacy Analyst Evaluation'!$A$46:$F$120,4,0),""))&amp;""</f>
        <v/>
      </c>
      <c r="M149" s="242" t="str">
        <f aca="false">IFERROR(VLOOKUP($I149,'Institution Evaluation'!$A$55:$F$346,6,0),IFERROR(VLOOKUP($I149,'Privacy Analyst Evaluation'!$A$46:$F$120,6,0),""))&amp;""</f>
        <v/>
      </c>
    </row>
    <row r="150" customFormat="false" ht="15" hidden="false" customHeight="false" outlineLevel="0" collapsed="false">
      <c r="A150" s="242" t="str">
        <f aca="false">IFERROR(IF($A149+1&gt;'(backend scoring)'!$T$335,"",$A149+1),"")</f>
        <v/>
      </c>
      <c r="B150" s="242" t="str">
        <f aca="false">_xlfn.XLOOKUP($A150,'(backend scoring)'!$V$2:$V$333,'(backend scoring)'!$A$2:$A$333,"")</f>
        <v/>
      </c>
      <c r="C150" s="242" t="str">
        <f aca="false">IFERROR(VLOOKUP($B150,'Institution Evaluation'!$A$55:$F$346,2,0),IFERROR(VLOOKUP($B150,'Privacy Analyst Evaluation'!$A$46:$F$120,2,0),""))&amp;""</f>
        <v/>
      </c>
      <c r="D150" s="242" t="str">
        <f aca="false">IFERROR(VLOOKUP($B150,'Institution Evaluation'!$A$55:$F$346,3,0),IFERROR(VLOOKUP($B150,'Privacy Analyst Evaluation'!$A$46:$F$120,3,0),""))&amp;""</f>
        <v/>
      </c>
      <c r="E150" s="242" t="str">
        <f aca="false">IFERROR(VLOOKUP($B150,'Institution Evaluation'!$A$55:$F$346,4,0),IFERROR(VLOOKUP($B150,'Privacy Analyst Evaluation'!$A$46:$F$120,4,0),""))&amp;""</f>
        <v/>
      </c>
      <c r="F150" s="242" t="str">
        <f aca="false">IFERROR(VLOOKUP($B150,'Institution Evaluation'!$A$55:$F$346,6,0),IFERROR(VLOOKUP($B150,'Privacy Analyst Evaluation'!$A$46:$F$120,6,0),""))&amp;""</f>
        <v/>
      </c>
      <c r="G150" s="243"/>
      <c r="H150" s="242" t="str">
        <f aca="false">IFERROR(IF($H149+1&gt;'(backend scoring)'!$Q$335,"",$H149+1),"")</f>
        <v/>
      </c>
      <c r="I150" s="242" t="str">
        <f aca="false">_xlfn.XLOOKUP($H150,'(backend scoring)'!$S$2:$S$333,'(backend scoring)'!$A$2:$A$333,"")</f>
        <v/>
      </c>
      <c r="J150" s="242" t="str">
        <f aca="false">IFERROR(VLOOKUP($I150,'Institution Evaluation'!$A$55:$F$346,2,0),IFERROR(VLOOKUP($I150,'Privacy Analyst Evaluation'!$A$46:$F$120,2,0),""))</f>
        <v/>
      </c>
      <c r="K150" s="242" t="str">
        <f aca="false">IFERROR(VLOOKUP($I150,'Institution Evaluation'!$A$55:$F$346,3,0),IFERROR(VLOOKUP($I150,'Privacy Analyst Evaluation'!$A$46:$F$120,3,0),""))&amp;""</f>
        <v/>
      </c>
      <c r="L150" s="242" t="str">
        <f aca="false">IFERROR(VLOOKUP($I150,'Institution Evaluation'!$A$55:$F$346,4,0),IFERROR(VLOOKUP($I150,'Privacy Analyst Evaluation'!$A$46:$F$120,4,0),""))&amp;""</f>
        <v/>
      </c>
      <c r="M150" s="242" t="str">
        <f aca="false">IFERROR(VLOOKUP($I150,'Institution Evaluation'!$A$55:$F$346,6,0),IFERROR(VLOOKUP($I150,'Privacy Analyst Evaluation'!$A$46:$F$120,6,0),""))&amp;""</f>
        <v/>
      </c>
    </row>
    <row r="151" customFormat="false" ht="15" hidden="false" customHeight="false" outlineLevel="0" collapsed="false">
      <c r="A151" s="242" t="str">
        <f aca="false">IFERROR(IF($A150+1&gt;'(backend scoring)'!$T$335,"",$A150+1),"")</f>
        <v/>
      </c>
      <c r="B151" s="242" t="str">
        <f aca="false">_xlfn.XLOOKUP($A151,'(backend scoring)'!$V$2:$V$333,'(backend scoring)'!$A$2:$A$333,"")</f>
        <v/>
      </c>
      <c r="C151" s="242" t="str">
        <f aca="false">IFERROR(VLOOKUP($B151,'Institution Evaluation'!$A$55:$F$346,2,0),IFERROR(VLOOKUP($B151,'Privacy Analyst Evaluation'!$A$46:$F$120,2,0),""))&amp;""</f>
        <v/>
      </c>
      <c r="D151" s="242" t="str">
        <f aca="false">IFERROR(VLOOKUP($B151,'Institution Evaluation'!$A$55:$F$346,3,0),IFERROR(VLOOKUP($B151,'Privacy Analyst Evaluation'!$A$46:$F$120,3,0),""))&amp;""</f>
        <v/>
      </c>
      <c r="E151" s="242" t="str">
        <f aca="false">IFERROR(VLOOKUP($B151,'Institution Evaluation'!$A$55:$F$346,4,0),IFERROR(VLOOKUP($B151,'Privacy Analyst Evaluation'!$A$46:$F$120,4,0),""))&amp;""</f>
        <v/>
      </c>
      <c r="F151" s="242" t="str">
        <f aca="false">IFERROR(VLOOKUP($B151,'Institution Evaluation'!$A$55:$F$346,6,0),IFERROR(VLOOKUP($B151,'Privacy Analyst Evaluation'!$A$46:$F$120,6,0),""))&amp;""</f>
        <v/>
      </c>
      <c r="G151" s="243"/>
      <c r="H151" s="242" t="str">
        <f aca="false">IFERROR(IF($H150+1&gt;'(backend scoring)'!$Q$335,"",$H150+1),"")</f>
        <v/>
      </c>
      <c r="I151" s="242" t="str">
        <f aca="false">_xlfn.XLOOKUP($H151,'(backend scoring)'!$S$2:$S$333,'(backend scoring)'!$A$2:$A$333,"")</f>
        <v/>
      </c>
      <c r="J151" s="242" t="str">
        <f aca="false">IFERROR(VLOOKUP($I151,'Institution Evaluation'!$A$55:$F$346,2,0),IFERROR(VLOOKUP($I151,'Privacy Analyst Evaluation'!$A$46:$F$120,2,0),""))</f>
        <v/>
      </c>
      <c r="K151" s="242" t="str">
        <f aca="false">IFERROR(VLOOKUP($I151,'Institution Evaluation'!$A$55:$F$346,3,0),IFERROR(VLOOKUP($I151,'Privacy Analyst Evaluation'!$A$46:$F$120,3,0),""))&amp;""</f>
        <v/>
      </c>
      <c r="L151" s="242" t="str">
        <f aca="false">IFERROR(VLOOKUP($I151,'Institution Evaluation'!$A$55:$F$346,4,0),IFERROR(VLOOKUP($I151,'Privacy Analyst Evaluation'!$A$46:$F$120,4,0),""))&amp;""</f>
        <v/>
      </c>
      <c r="M151" s="242" t="str">
        <f aca="false">IFERROR(VLOOKUP($I151,'Institution Evaluation'!$A$55:$F$346,6,0),IFERROR(VLOOKUP($I151,'Privacy Analyst Evaluation'!$A$46:$F$120,6,0),""))&amp;""</f>
        <v/>
      </c>
    </row>
    <row r="152" customFormat="false" ht="15" hidden="false" customHeight="false" outlineLevel="0" collapsed="false">
      <c r="A152" s="242" t="str">
        <f aca="false">IFERROR(IF($A151+1&gt;'(backend scoring)'!$T$335,"",$A151+1),"")</f>
        <v/>
      </c>
      <c r="B152" s="242" t="str">
        <f aca="false">_xlfn.XLOOKUP($A152,'(backend scoring)'!$V$2:$V$333,'(backend scoring)'!$A$2:$A$333,"")</f>
        <v/>
      </c>
      <c r="C152" s="242" t="str">
        <f aca="false">IFERROR(VLOOKUP($B152,'Institution Evaluation'!$A$55:$F$346,2,0),IFERROR(VLOOKUP($B152,'Privacy Analyst Evaluation'!$A$46:$F$120,2,0),""))&amp;""</f>
        <v/>
      </c>
      <c r="D152" s="242" t="str">
        <f aca="false">IFERROR(VLOOKUP($B152,'Institution Evaluation'!$A$55:$F$346,3,0),IFERROR(VLOOKUP($B152,'Privacy Analyst Evaluation'!$A$46:$F$120,3,0),""))&amp;""</f>
        <v/>
      </c>
      <c r="E152" s="242" t="str">
        <f aca="false">IFERROR(VLOOKUP($B152,'Institution Evaluation'!$A$55:$F$346,4,0),IFERROR(VLOOKUP($B152,'Privacy Analyst Evaluation'!$A$46:$F$120,4,0),""))&amp;""</f>
        <v/>
      </c>
      <c r="F152" s="242" t="str">
        <f aca="false">IFERROR(VLOOKUP($B152,'Institution Evaluation'!$A$55:$F$346,6,0),IFERROR(VLOOKUP($B152,'Privacy Analyst Evaluation'!$A$46:$F$120,6,0),""))&amp;""</f>
        <v/>
      </c>
      <c r="G152" s="243"/>
      <c r="H152" s="242" t="str">
        <f aca="false">IFERROR(IF($H151+1&gt;'(backend scoring)'!$Q$335,"",$H151+1),"")</f>
        <v/>
      </c>
      <c r="I152" s="242" t="str">
        <f aca="false">_xlfn.XLOOKUP($H152,'(backend scoring)'!$S$2:$S$333,'(backend scoring)'!$A$2:$A$333,"")</f>
        <v/>
      </c>
      <c r="J152" s="242" t="str">
        <f aca="false">IFERROR(VLOOKUP($I152,'Institution Evaluation'!$A$55:$F$346,2,0),IFERROR(VLOOKUP($I152,'Privacy Analyst Evaluation'!$A$46:$F$120,2,0),""))</f>
        <v/>
      </c>
      <c r="K152" s="242" t="str">
        <f aca="false">IFERROR(VLOOKUP($I152,'Institution Evaluation'!$A$55:$F$346,3,0),IFERROR(VLOOKUP($I152,'Privacy Analyst Evaluation'!$A$46:$F$120,3,0),""))&amp;""</f>
        <v/>
      </c>
      <c r="L152" s="242" t="str">
        <f aca="false">IFERROR(VLOOKUP($I152,'Institution Evaluation'!$A$55:$F$346,4,0),IFERROR(VLOOKUP($I152,'Privacy Analyst Evaluation'!$A$46:$F$120,4,0),""))&amp;""</f>
        <v/>
      </c>
      <c r="M152" s="242" t="str">
        <f aca="false">IFERROR(VLOOKUP($I152,'Institution Evaluation'!$A$55:$F$346,6,0),IFERROR(VLOOKUP($I152,'Privacy Analyst Evaluation'!$A$46:$F$120,6,0),""))&amp;""</f>
        <v/>
      </c>
    </row>
    <row r="153" customFormat="false" ht="15" hidden="false" customHeight="false" outlineLevel="0" collapsed="false">
      <c r="A153" s="242" t="str">
        <f aca="false">IFERROR(IF($A152+1&gt;'(backend scoring)'!$T$335,"",$A152+1),"")</f>
        <v/>
      </c>
      <c r="B153" s="242" t="str">
        <f aca="false">_xlfn.XLOOKUP($A153,'(backend scoring)'!$V$2:$V$333,'(backend scoring)'!$A$2:$A$333,"")</f>
        <v/>
      </c>
      <c r="C153" s="242" t="str">
        <f aca="false">IFERROR(VLOOKUP($B153,'Institution Evaluation'!$A$55:$F$346,2,0),IFERROR(VLOOKUP($B153,'Privacy Analyst Evaluation'!$A$46:$F$120,2,0),""))&amp;""</f>
        <v/>
      </c>
      <c r="D153" s="242" t="str">
        <f aca="false">IFERROR(VLOOKUP($B153,'Institution Evaluation'!$A$55:$F$346,3,0),IFERROR(VLOOKUP($B153,'Privacy Analyst Evaluation'!$A$46:$F$120,3,0),""))&amp;""</f>
        <v/>
      </c>
      <c r="E153" s="242" t="str">
        <f aca="false">IFERROR(VLOOKUP($B153,'Institution Evaluation'!$A$55:$F$346,4,0),IFERROR(VLOOKUP($B153,'Privacy Analyst Evaluation'!$A$46:$F$120,4,0),""))&amp;""</f>
        <v/>
      </c>
      <c r="F153" s="242" t="str">
        <f aca="false">IFERROR(VLOOKUP($B153,'Institution Evaluation'!$A$55:$F$346,6,0),IFERROR(VLOOKUP($B153,'Privacy Analyst Evaluation'!$A$46:$F$120,6,0),""))&amp;""</f>
        <v/>
      </c>
      <c r="G153" s="243"/>
      <c r="H153" s="242" t="str">
        <f aca="false">IFERROR(IF($H152+1&gt;'(backend scoring)'!$Q$335,"",$H152+1),"")</f>
        <v/>
      </c>
      <c r="I153" s="242" t="str">
        <f aca="false">_xlfn.XLOOKUP($H153,'(backend scoring)'!$S$2:$S$333,'(backend scoring)'!$A$2:$A$333,"")</f>
        <v/>
      </c>
      <c r="J153" s="242" t="str">
        <f aca="false">IFERROR(VLOOKUP($I153,'Institution Evaluation'!$A$55:$F$346,2,0),IFERROR(VLOOKUP($I153,'Privacy Analyst Evaluation'!$A$46:$F$120,2,0),""))</f>
        <v/>
      </c>
      <c r="K153" s="242" t="str">
        <f aca="false">IFERROR(VLOOKUP($I153,'Institution Evaluation'!$A$55:$F$346,3,0),IFERROR(VLOOKUP($I153,'Privacy Analyst Evaluation'!$A$46:$F$120,3,0),""))&amp;""</f>
        <v/>
      </c>
      <c r="L153" s="242" t="str">
        <f aca="false">IFERROR(VLOOKUP($I153,'Institution Evaluation'!$A$55:$F$346,4,0),IFERROR(VLOOKUP($I153,'Privacy Analyst Evaluation'!$A$46:$F$120,4,0),""))&amp;""</f>
        <v/>
      </c>
      <c r="M153" s="242" t="str">
        <f aca="false">IFERROR(VLOOKUP($I153,'Institution Evaluation'!$A$55:$F$346,6,0),IFERROR(VLOOKUP($I153,'Privacy Analyst Evaluation'!$A$46:$F$120,6,0),""))&amp;""</f>
        <v/>
      </c>
    </row>
    <row r="154" customFormat="false" ht="15" hidden="false" customHeight="false" outlineLevel="0" collapsed="false">
      <c r="A154" s="242" t="str">
        <f aca="false">IFERROR(IF($A153+1&gt;'(backend scoring)'!$T$335,"",$A153+1),"")</f>
        <v/>
      </c>
      <c r="B154" s="242" t="str">
        <f aca="false">_xlfn.XLOOKUP($A154,'(backend scoring)'!$V$2:$V$333,'(backend scoring)'!$A$2:$A$333,"")</f>
        <v/>
      </c>
      <c r="C154" s="242" t="str">
        <f aca="false">IFERROR(VLOOKUP($B154,'Institution Evaluation'!$A$55:$F$346,2,0),IFERROR(VLOOKUP($B154,'Privacy Analyst Evaluation'!$A$46:$F$120,2,0),""))&amp;""</f>
        <v/>
      </c>
      <c r="D154" s="242" t="str">
        <f aca="false">IFERROR(VLOOKUP($B154,'Institution Evaluation'!$A$55:$F$346,3,0),IFERROR(VLOOKUP($B154,'Privacy Analyst Evaluation'!$A$46:$F$120,3,0),""))&amp;""</f>
        <v/>
      </c>
      <c r="E154" s="242" t="str">
        <f aca="false">IFERROR(VLOOKUP($B154,'Institution Evaluation'!$A$55:$F$346,4,0),IFERROR(VLOOKUP($B154,'Privacy Analyst Evaluation'!$A$46:$F$120,4,0),""))&amp;""</f>
        <v/>
      </c>
      <c r="F154" s="242" t="str">
        <f aca="false">IFERROR(VLOOKUP($B154,'Institution Evaluation'!$A$55:$F$346,6,0),IFERROR(VLOOKUP($B154,'Privacy Analyst Evaluation'!$A$46:$F$120,6,0),""))&amp;""</f>
        <v/>
      </c>
      <c r="G154" s="243"/>
      <c r="H154" s="242" t="str">
        <f aca="false">IFERROR(IF($H153+1&gt;'(backend scoring)'!$Q$335,"",$H153+1),"")</f>
        <v/>
      </c>
      <c r="I154" s="242" t="str">
        <f aca="false">_xlfn.XLOOKUP($H154,'(backend scoring)'!$S$2:$S$333,'(backend scoring)'!$A$2:$A$333,"")</f>
        <v/>
      </c>
      <c r="J154" s="242" t="str">
        <f aca="false">IFERROR(VLOOKUP($I154,'Institution Evaluation'!$A$55:$F$346,2,0),IFERROR(VLOOKUP($I154,'Privacy Analyst Evaluation'!$A$46:$F$120,2,0),""))</f>
        <v/>
      </c>
      <c r="K154" s="242" t="str">
        <f aca="false">IFERROR(VLOOKUP($I154,'Institution Evaluation'!$A$55:$F$346,3,0),IFERROR(VLOOKUP($I154,'Privacy Analyst Evaluation'!$A$46:$F$120,3,0),""))&amp;""</f>
        <v/>
      </c>
      <c r="L154" s="242" t="str">
        <f aca="false">IFERROR(VLOOKUP($I154,'Institution Evaluation'!$A$55:$F$346,4,0),IFERROR(VLOOKUP($I154,'Privacy Analyst Evaluation'!$A$46:$F$120,4,0),""))&amp;""</f>
        <v/>
      </c>
      <c r="M154" s="242" t="str">
        <f aca="false">IFERROR(VLOOKUP($I154,'Institution Evaluation'!$A$55:$F$346,6,0),IFERROR(VLOOKUP($I154,'Privacy Analyst Evaluation'!$A$46:$F$120,6,0),""))&amp;""</f>
        <v/>
      </c>
    </row>
    <row r="155" customFormat="false" ht="15" hidden="false" customHeight="false" outlineLevel="0" collapsed="false">
      <c r="A155" s="242" t="str">
        <f aca="false">IFERROR(IF($A154+1&gt;'(backend scoring)'!$T$335,"",$A154+1),"")</f>
        <v/>
      </c>
      <c r="B155" s="242" t="str">
        <f aca="false">_xlfn.XLOOKUP($A155,'(backend scoring)'!$V$2:$V$333,'(backend scoring)'!$A$2:$A$333,"")</f>
        <v/>
      </c>
      <c r="C155" s="242" t="str">
        <f aca="false">IFERROR(VLOOKUP($B155,'Institution Evaluation'!$A$55:$F$346,2,0),IFERROR(VLOOKUP($B155,'Privacy Analyst Evaluation'!$A$46:$F$120,2,0),""))&amp;""</f>
        <v/>
      </c>
      <c r="D155" s="242" t="str">
        <f aca="false">IFERROR(VLOOKUP($B155,'Institution Evaluation'!$A$55:$F$346,3,0),IFERROR(VLOOKUP($B155,'Privacy Analyst Evaluation'!$A$46:$F$120,3,0),""))&amp;""</f>
        <v/>
      </c>
      <c r="E155" s="242" t="str">
        <f aca="false">IFERROR(VLOOKUP($B155,'Institution Evaluation'!$A$55:$F$346,4,0),IFERROR(VLOOKUP($B155,'Privacy Analyst Evaluation'!$A$46:$F$120,4,0),""))&amp;""</f>
        <v/>
      </c>
      <c r="F155" s="242" t="str">
        <f aca="false">IFERROR(VLOOKUP($B155,'Institution Evaluation'!$A$55:$F$346,6,0),IFERROR(VLOOKUP($B155,'Privacy Analyst Evaluation'!$A$46:$F$120,6,0),""))&amp;""</f>
        <v/>
      </c>
      <c r="G155" s="243"/>
      <c r="H155" s="242" t="str">
        <f aca="false">IFERROR(IF($H154+1&gt;'(backend scoring)'!$Q$335,"",$H154+1),"")</f>
        <v/>
      </c>
      <c r="I155" s="242" t="str">
        <f aca="false">_xlfn.XLOOKUP($H155,'(backend scoring)'!$S$2:$S$333,'(backend scoring)'!$A$2:$A$333,"")</f>
        <v/>
      </c>
      <c r="J155" s="242" t="str">
        <f aca="false">IFERROR(VLOOKUP($I155,'Institution Evaluation'!$A$55:$F$346,2,0),IFERROR(VLOOKUP($I155,'Privacy Analyst Evaluation'!$A$46:$F$120,2,0),""))</f>
        <v/>
      </c>
      <c r="K155" s="242" t="str">
        <f aca="false">IFERROR(VLOOKUP($I155,'Institution Evaluation'!$A$55:$F$346,3,0),IFERROR(VLOOKUP($I155,'Privacy Analyst Evaluation'!$A$46:$F$120,3,0),""))&amp;""</f>
        <v/>
      </c>
      <c r="L155" s="242" t="str">
        <f aca="false">IFERROR(VLOOKUP($I155,'Institution Evaluation'!$A$55:$F$346,4,0),IFERROR(VLOOKUP($I155,'Privacy Analyst Evaluation'!$A$46:$F$120,4,0),""))&amp;""</f>
        <v/>
      </c>
      <c r="M155" s="242" t="str">
        <f aca="false">IFERROR(VLOOKUP($I155,'Institution Evaluation'!$A$55:$F$346,6,0),IFERROR(VLOOKUP($I155,'Privacy Analyst Evaluation'!$A$46:$F$120,6,0),""))&amp;""</f>
        <v/>
      </c>
    </row>
    <row r="156" customFormat="false" ht="15" hidden="false" customHeight="false" outlineLevel="0" collapsed="false">
      <c r="A156" s="242" t="str">
        <f aca="false">IFERROR(IF($A155+1&gt;'(backend scoring)'!$T$335,"",$A155+1),"")</f>
        <v/>
      </c>
      <c r="B156" s="242" t="str">
        <f aca="false">_xlfn.XLOOKUP($A156,'(backend scoring)'!$V$2:$V$333,'(backend scoring)'!$A$2:$A$333,"")</f>
        <v/>
      </c>
      <c r="C156" s="242" t="str">
        <f aca="false">IFERROR(VLOOKUP($B156,'Institution Evaluation'!$A$55:$F$346,2,0),IFERROR(VLOOKUP($B156,'Privacy Analyst Evaluation'!$A$46:$F$120,2,0),""))&amp;""</f>
        <v/>
      </c>
      <c r="D156" s="242" t="str">
        <f aca="false">IFERROR(VLOOKUP($B156,'Institution Evaluation'!$A$55:$F$346,3,0),IFERROR(VLOOKUP($B156,'Privacy Analyst Evaluation'!$A$46:$F$120,3,0),""))&amp;""</f>
        <v/>
      </c>
      <c r="E156" s="242" t="str">
        <f aca="false">IFERROR(VLOOKUP($B156,'Institution Evaluation'!$A$55:$F$346,4,0),IFERROR(VLOOKUP($B156,'Privacy Analyst Evaluation'!$A$46:$F$120,4,0),""))&amp;""</f>
        <v/>
      </c>
      <c r="F156" s="242" t="str">
        <f aca="false">IFERROR(VLOOKUP($B156,'Institution Evaluation'!$A$55:$F$346,6,0),IFERROR(VLOOKUP($B156,'Privacy Analyst Evaluation'!$A$46:$F$120,6,0),""))&amp;""</f>
        <v/>
      </c>
      <c r="G156" s="243"/>
      <c r="H156" s="242" t="str">
        <f aca="false">IFERROR(IF($H155+1&gt;'(backend scoring)'!$Q$335,"",$H155+1),"")</f>
        <v/>
      </c>
      <c r="I156" s="242" t="str">
        <f aca="false">_xlfn.XLOOKUP($H156,'(backend scoring)'!$S$2:$S$333,'(backend scoring)'!$A$2:$A$333,"")</f>
        <v/>
      </c>
      <c r="J156" s="242" t="str">
        <f aca="false">IFERROR(VLOOKUP($I156,'Institution Evaluation'!$A$55:$F$346,2,0),IFERROR(VLOOKUP($I156,'Privacy Analyst Evaluation'!$A$46:$F$120,2,0),""))</f>
        <v/>
      </c>
      <c r="K156" s="242" t="str">
        <f aca="false">IFERROR(VLOOKUP($I156,'Institution Evaluation'!$A$55:$F$346,3,0),IFERROR(VLOOKUP($I156,'Privacy Analyst Evaluation'!$A$46:$F$120,3,0),""))&amp;""</f>
        <v/>
      </c>
      <c r="L156" s="242" t="str">
        <f aca="false">IFERROR(VLOOKUP($I156,'Institution Evaluation'!$A$55:$F$346,4,0),IFERROR(VLOOKUP($I156,'Privacy Analyst Evaluation'!$A$46:$F$120,4,0),""))&amp;""</f>
        <v/>
      </c>
      <c r="M156" s="242" t="str">
        <f aca="false">IFERROR(VLOOKUP($I156,'Institution Evaluation'!$A$55:$F$346,6,0),IFERROR(VLOOKUP($I156,'Privacy Analyst Evaluation'!$A$46:$F$120,6,0),""))&amp;""</f>
        <v/>
      </c>
    </row>
    <row r="157" customFormat="false" ht="15" hidden="false" customHeight="false" outlineLevel="0" collapsed="false">
      <c r="A157" s="242" t="str">
        <f aca="false">IFERROR(IF($A156+1&gt;'(backend scoring)'!$T$335,"",$A156+1),"")</f>
        <v/>
      </c>
      <c r="B157" s="242" t="str">
        <f aca="false">_xlfn.XLOOKUP($A157,'(backend scoring)'!$V$2:$V$333,'(backend scoring)'!$A$2:$A$333,"")</f>
        <v/>
      </c>
      <c r="C157" s="242" t="str">
        <f aca="false">IFERROR(VLOOKUP($B157,'Institution Evaluation'!$A$55:$F$346,2,0),IFERROR(VLOOKUP($B157,'Privacy Analyst Evaluation'!$A$46:$F$120,2,0),""))&amp;""</f>
        <v/>
      </c>
      <c r="D157" s="242" t="str">
        <f aca="false">IFERROR(VLOOKUP($B157,'Institution Evaluation'!$A$55:$F$346,3,0),IFERROR(VLOOKUP($B157,'Privacy Analyst Evaluation'!$A$46:$F$120,3,0),""))&amp;""</f>
        <v/>
      </c>
      <c r="E157" s="242" t="str">
        <f aca="false">IFERROR(VLOOKUP($B157,'Institution Evaluation'!$A$55:$F$346,4,0),IFERROR(VLOOKUP($B157,'Privacy Analyst Evaluation'!$A$46:$F$120,4,0),""))&amp;""</f>
        <v/>
      </c>
      <c r="F157" s="242" t="str">
        <f aca="false">IFERROR(VLOOKUP($B157,'Institution Evaluation'!$A$55:$F$346,6,0),IFERROR(VLOOKUP($B157,'Privacy Analyst Evaluation'!$A$46:$F$120,6,0),""))&amp;""</f>
        <v/>
      </c>
      <c r="G157" s="243"/>
      <c r="H157" s="242" t="str">
        <f aca="false">IFERROR(IF($H156+1&gt;'(backend scoring)'!$Q$335,"",$H156+1),"")</f>
        <v/>
      </c>
      <c r="I157" s="242" t="str">
        <f aca="false">_xlfn.XLOOKUP($H157,'(backend scoring)'!$S$2:$S$333,'(backend scoring)'!$A$2:$A$333,"")</f>
        <v/>
      </c>
      <c r="J157" s="242" t="str">
        <f aca="false">IFERROR(VLOOKUP($I157,'Institution Evaluation'!$A$55:$F$346,2,0),IFERROR(VLOOKUP($I157,'Privacy Analyst Evaluation'!$A$46:$F$120,2,0),""))</f>
        <v/>
      </c>
      <c r="K157" s="242" t="str">
        <f aca="false">IFERROR(VLOOKUP($I157,'Institution Evaluation'!$A$55:$F$346,3,0),IFERROR(VLOOKUP($I157,'Privacy Analyst Evaluation'!$A$46:$F$120,3,0),""))&amp;""</f>
        <v/>
      </c>
      <c r="L157" s="242" t="str">
        <f aca="false">IFERROR(VLOOKUP($I157,'Institution Evaluation'!$A$55:$F$346,4,0),IFERROR(VLOOKUP($I157,'Privacy Analyst Evaluation'!$A$46:$F$120,4,0),""))&amp;""</f>
        <v/>
      </c>
      <c r="M157" s="242" t="str">
        <f aca="false">IFERROR(VLOOKUP($I157,'Institution Evaluation'!$A$55:$F$346,6,0),IFERROR(VLOOKUP($I157,'Privacy Analyst Evaluation'!$A$46:$F$120,6,0),""))&amp;""</f>
        <v/>
      </c>
    </row>
    <row r="158" customFormat="false" ht="15" hidden="false" customHeight="false" outlineLevel="0" collapsed="false">
      <c r="A158" s="242" t="str">
        <f aca="false">IFERROR(IF($A157+1&gt;'(backend scoring)'!$T$335,"",$A157+1),"")</f>
        <v/>
      </c>
      <c r="B158" s="242" t="str">
        <f aca="false">_xlfn.XLOOKUP($A158,'(backend scoring)'!$V$2:$V$333,'(backend scoring)'!$A$2:$A$333,"")</f>
        <v/>
      </c>
      <c r="C158" s="242" t="str">
        <f aca="false">IFERROR(VLOOKUP($B158,'Institution Evaluation'!$A$55:$F$346,2,0),IFERROR(VLOOKUP($B158,'Privacy Analyst Evaluation'!$A$46:$F$120,2,0),""))&amp;""</f>
        <v/>
      </c>
      <c r="D158" s="242" t="str">
        <f aca="false">IFERROR(VLOOKUP($B158,'Institution Evaluation'!$A$55:$F$346,3,0),IFERROR(VLOOKUP($B158,'Privacy Analyst Evaluation'!$A$46:$F$120,3,0),""))&amp;""</f>
        <v/>
      </c>
      <c r="E158" s="242" t="str">
        <f aca="false">IFERROR(VLOOKUP($B158,'Institution Evaluation'!$A$55:$F$346,4,0),IFERROR(VLOOKUP($B158,'Privacy Analyst Evaluation'!$A$46:$F$120,4,0),""))&amp;""</f>
        <v/>
      </c>
      <c r="F158" s="242" t="str">
        <f aca="false">IFERROR(VLOOKUP($B158,'Institution Evaluation'!$A$55:$F$346,6,0),IFERROR(VLOOKUP($B158,'Privacy Analyst Evaluation'!$A$46:$F$120,6,0),""))&amp;""</f>
        <v/>
      </c>
      <c r="G158" s="243"/>
      <c r="H158" s="242" t="str">
        <f aca="false">IFERROR(IF($H157+1&gt;'(backend scoring)'!$Q$335,"",$H157+1),"")</f>
        <v/>
      </c>
      <c r="I158" s="242" t="str">
        <f aca="false">_xlfn.XLOOKUP($H158,'(backend scoring)'!$S$2:$S$333,'(backend scoring)'!$A$2:$A$333,"")</f>
        <v/>
      </c>
      <c r="J158" s="242" t="str">
        <f aca="false">IFERROR(VLOOKUP($I158,'Institution Evaluation'!$A$55:$F$346,2,0),IFERROR(VLOOKUP($I158,'Privacy Analyst Evaluation'!$A$46:$F$120,2,0),""))</f>
        <v/>
      </c>
      <c r="K158" s="242" t="str">
        <f aca="false">IFERROR(VLOOKUP($I158,'Institution Evaluation'!$A$55:$F$346,3,0),IFERROR(VLOOKUP($I158,'Privacy Analyst Evaluation'!$A$46:$F$120,3,0),""))&amp;""</f>
        <v/>
      </c>
      <c r="L158" s="242" t="str">
        <f aca="false">IFERROR(VLOOKUP($I158,'Institution Evaluation'!$A$55:$F$346,4,0),IFERROR(VLOOKUP($I158,'Privacy Analyst Evaluation'!$A$46:$F$120,4,0),""))&amp;""</f>
        <v/>
      </c>
      <c r="M158" s="242" t="str">
        <f aca="false">IFERROR(VLOOKUP($I158,'Institution Evaluation'!$A$55:$F$346,6,0),IFERROR(VLOOKUP($I158,'Privacy Analyst Evaluation'!$A$46:$F$120,6,0),""))&amp;""</f>
        <v/>
      </c>
    </row>
    <row r="159" customFormat="false" ht="15" hidden="false" customHeight="false" outlineLevel="0" collapsed="false">
      <c r="A159" s="242" t="str">
        <f aca="false">IFERROR(IF($A158+1&gt;'(backend scoring)'!$T$335,"",$A158+1),"")</f>
        <v/>
      </c>
      <c r="B159" s="242" t="str">
        <f aca="false">_xlfn.XLOOKUP($A159,'(backend scoring)'!$V$2:$V$333,'(backend scoring)'!$A$2:$A$333,"")</f>
        <v/>
      </c>
      <c r="C159" s="242" t="str">
        <f aca="false">IFERROR(VLOOKUP($B159,'Institution Evaluation'!$A$55:$F$346,2,0),IFERROR(VLOOKUP($B159,'Privacy Analyst Evaluation'!$A$46:$F$120,2,0),""))&amp;""</f>
        <v/>
      </c>
      <c r="D159" s="242" t="str">
        <f aca="false">IFERROR(VLOOKUP($B159,'Institution Evaluation'!$A$55:$F$346,3,0),IFERROR(VLOOKUP($B159,'Privacy Analyst Evaluation'!$A$46:$F$120,3,0),""))&amp;""</f>
        <v/>
      </c>
      <c r="E159" s="242" t="str">
        <f aca="false">IFERROR(VLOOKUP($B159,'Institution Evaluation'!$A$55:$F$346,4,0),IFERROR(VLOOKUP($B159,'Privacy Analyst Evaluation'!$A$46:$F$120,4,0),""))&amp;""</f>
        <v/>
      </c>
      <c r="F159" s="242" t="str">
        <f aca="false">IFERROR(VLOOKUP($B159,'Institution Evaluation'!$A$55:$F$346,6,0),IFERROR(VLOOKUP($B159,'Privacy Analyst Evaluation'!$A$46:$F$120,6,0),""))&amp;""</f>
        <v/>
      </c>
      <c r="G159" s="243"/>
      <c r="H159" s="242" t="str">
        <f aca="false">IFERROR(IF($H158+1&gt;'(backend scoring)'!$Q$335,"",$H158+1),"")</f>
        <v/>
      </c>
      <c r="I159" s="242" t="str">
        <f aca="false">_xlfn.XLOOKUP($H159,'(backend scoring)'!$S$2:$S$333,'(backend scoring)'!$A$2:$A$333,"")</f>
        <v/>
      </c>
      <c r="J159" s="242" t="str">
        <f aca="false">IFERROR(VLOOKUP($I159,'Institution Evaluation'!$A$55:$F$346,2,0),IFERROR(VLOOKUP($I159,'Privacy Analyst Evaluation'!$A$46:$F$120,2,0),""))</f>
        <v/>
      </c>
      <c r="K159" s="242" t="str">
        <f aca="false">IFERROR(VLOOKUP($I159,'Institution Evaluation'!$A$55:$F$346,3,0),IFERROR(VLOOKUP($I159,'Privacy Analyst Evaluation'!$A$46:$F$120,3,0),""))&amp;""</f>
        <v/>
      </c>
      <c r="L159" s="242" t="str">
        <f aca="false">IFERROR(VLOOKUP($I159,'Institution Evaluation'!$A$55:$F$346,4,0),IFERROR(VLOOKUP($I159,'Privacy Analyst Evaluation'!$A$46:$F$120,4,0),""))&amp;""</f>
        <v/>
      </c>
      <c r="M159" s="242" t="str">
        <f aca="false">IFERROR(VLOOKUP($I159,'Institution Evaluation'!$A$55:$F$346,6,0),IFERROR(VLOOKUP($I159,'Privacy Analyst Evaluation'!$A$46:$F$120,6,0),""))&amp;""</f>
        <v/>
      </c>
    </row>
    <row r="160" customFormat="false" ht="15" hidden="false" customHeight="false" outlineLevel="0" collapsed="false">
      <c r="A160" s="242" t="str">
        <f aca="false">IFERROR(IF($A159+1&gt;'(backend scoring)'!$T$335,"",$A159+1),"")</f>
        <v/>
      </c>
      <c r="B160" s="242" t="str">
        <f aca="false">_xlfn.XLOOKUP($A160,'(backend scoring)'!$V$2:$V$333,'(backend scoring)'!$A$2:$A$333,"")</f>
        <v/>
      </c>
      <c r="C160" s="242" t="str">
        <f aca="false">IFERROR(VLOOKUP($B160,'Institution Evaluation'!$A$55:$F$346,2,0),IFERROR(VLOOKUP($B160,'Privacy Analyst Evaluation'!$A$46:$F$120,2,0),""))&amp;""</f>
        <v/>
      </c>
      <c r="D160" s="242" t="str">
        <f aca="false">IFERROR(VLOOKUP($B160,'Institution Evaluation'!$A$55:$F$346,3,0),IFERROR(VLOOKUP($B160,'Privacy Analyst Evaluation'!$A$46:$F$120,3,0),""))&amp;""</f>
        <v/>
      </c>
      <c r="E160" s="242" t="str">
        <f aca="false">IFERROR(VLOOKUP($B160,'Institution Evaluation'!$A$55:$F$346,4,0),IFERROR(VLOOKUP($B160,'Privacy Analyst Evaluation'!$A$46:$F$120,4,0),""))&amp;""</f>
        <v/>
      </c>
      <c r="F160" s="242" t="str">
        <f aca="false">IFERROR(VLOOKUP($B160,'Institution Evaluation'!$A$55:$F$346,6,0),IFERROR(VLOOKUP($B160,'Privacy Analyst Evaluation'!$A$46:$F$120,6,0),""))&amp;""</f>
        <v/>
      </c>
      <c r="G160" s="243"/>
      <c r="H160" s="242" t="str">
        <f aca="false">IFERROR(IF($H159+1&gt;'(backend scoring)'!$Q$335,"",$H159+1),"")</f>
        <v/>
      </c>
      <c r="I160" s="242" t="str">
        <f aca="false">_xlfn.XLOOKUP($H160,'(backend scoring)'!$S$2:$S$333,'(backend scoring)'!$A$2:$A$333,"")</f>
        <v/>
      </c>
      <c r="J160" s="242" t="str">
        <f aca="false">IFERROR(VLOOKUP($I160,'Institution Evaluation'!$A$55:$F$346,2,0),IFERROR(VLOOKUP($I160,'Privacy Analyst Evaluation'!$A$46:$F$120,2,0),""))</f>
        <v/>
      </c>
      <c r="K160" s="242" t="str">
        <f aca="false">IFERROR(VLOOKUP($I160,'Institution Evaluation'!$A$55:$F$346,3,0),IFERROR(VLOOKUP($I160,'Privacy Analyst Evaluation'!$A$46:$F$120,3,0),""))&amp;""</f>
        <v/>
      </c>
      <c r="L160" s="242" t="str">
        <f aca="false">IFERROR(VLOOKUP($I160,'Institution Evaluation'!$A$55:$F$346,4,0),IFERROR(VLOOKUP($I160,'Privacy Analyst Evaluation'!$A$46:$F$120,4,0),""))&amp;""</f>
        <v/>
      </c>
      <c r="M160" s="242" t="str">
        <f aca="false">IFERROR(VLOOKUP($I160,'Institution Evaluation'!$A$55:$F$346,6,0),IFERROR(VLOOKUP($I160,'Privacy Analyst Evaluation'!$A$46:$F$120,6,0),""))&amp;""</f>
        <v/>
      </c>
    </row>
    <row r="161" customFormat="false" ht="15" hidden="false" customHeight="false" outlineLevel="0" collapsed="false">
      <c r="A161" s="242" t="str">
        <f aca="false">IFERROR(IF($A160+1&gt;'(backend scoring)'!$T$335,"",$A160+1),"")</f>
        <v/>
      </c>
      <c r="B161" s="242" t="str">
        <f aca="false">_xlfn.XLOOKUP($A161,'(backend scoring)'!$V$2:$V$333,'(backend scoring)'!$A$2:$A$333,"")</f>
        <v/>
      </c>
      <c r="C161" s="242" t="str">
        <f aca="false">IFERROR(VLOOKUP($B161,'Institution Evaluation'!$A$55:$F$346,2,0),IFERROR(VLOOKUP($B161,'Privacy Analyst Evaluation'!$A$46:$F$120,2,0),""))&amp;""</f>
        <v/>
      </c>
      <c r="D161" s="242" t="str">
        <f aca="false">IFERROR(VLOOKUP($B161,'Institution Evaluation'!$A$55:$F$346,3,0),IFERROR(VLOOKUP($B161,'Privacy Analyst Evaluation'!$A$46:$F$120,3,0),""))&amp;""</f>
        <v/>
      </c>
      <c r="E161" s="242" t="str">
        <f aca="false">IFERROR(VLOOKUP($B161,'Institution Evaluation'!$A$55:$F$346,4,0),IFERROR(VLOOKUP($B161,'Privacy Analyst Evaluation'!$A$46:$F$120,4,0),""))&amp;""</f>
        <v/>
      </c>
      <c r="F161" s="242" t="str">
        <f aca="false">IFERROR(VLOOKUP($B161,'Institution Evaluation'!$A$55:$F$346,6,0),IFERROR(VLOOKUP($B161,'Privacy Analyst Evaluation'!$A$46:$F$120,6,0),""))&amp;""</f>
        <v/>
      </c>
      <c r="G161" s="243"/>
      <c r="H161" s="242" t="str">
        <f aca="false">IFERROR(IF($H160+1&gt;'(backend scoring)'!$Q$335,"",$H160+1),"")</f>
        <v/>
      </c>
      <c r="I161" s="242" t="str">
        <f aca="false">_xlfn.XLOOKUP($H161,'(backend scoring)'!$S$2:$S$333,'(backend scoring)'!$A$2:$A$333,"")</f>
        <v/>
      </c>
      <c r="J161" s="242" t="str">
        <f aca="false">IFERROR(VLOOKUP($I161,'Institution Evaluation'!$A$55:$F$346,2,0),IFERROR(VLOOKUP($I161,'Privacy Analyst Evaluation'!$A$46:$F$120,2,0),""))</f>
        <v/>
      </c>
      <c r="K161" s="242" t="str">
        <f aca="false">IFERROR(VLOOKUP($I161,'Institution Evaluation'!$A$55:$F$346,3,0),IFERROR(VLOOKUP($I161,'Privacy Analyst Evaluation'!$A$46:$F$120,3,0),""))&amp;""</f>
        <v/>
      </c>
      <c r="L161" s="242" t="str">
        <f aca="false">IFERROR(VLOOKUP($I161,'Institution Evaluation'!$A$55:$F$346,4,0),IFERROR(VLOOKUP($I161,'Privacy Analyst Evaluation'!$A$46:$F$120,4,0),""))&amp;""</f>
        <v/>
      </c>
      <c r="M161" s="242" t="str">
        <f aca="false">IFERROR(VLOOKUP($I161,'Institution Evaluation'!$A$55:$F$346,6,0),IFERROR(VLOOKUP($I161,'Privacy Analyst Evaluation'!$A$46:$F$120,6,0),""))&amp;""</f>
        <v/>
      </c>
    </row>
    <row r="162" customFormat="false" ht="15" hidden="false" customHeight="false" outlineLevel="0" collapsed="false">
      <c r="A162" s="242" t="str">
        <f aca="false">IFERROR(IF($A161+1&gt;'(backend scoring)'!$T$335,"",$A161+1),"")</f>
        <v/>
      </c>
      <c r="B162" s="242" t="str">
        <f aca="false">_xlfn.XLOOKUP($A162,'(backend scoring)'!$V$2:$V$333,'(backend scoring)'!$A$2:$A$333,"")</f>
        <v/>
      </c>
      <c r="C162" s="242" t="str">
        <f aca="false">IFERROR(VLOOKUP($B162,'Institution Evaluation'!$A$55:$F$346,2,0),IFERROR(VLOOKUP($B162,'Privacy Analyst Evaluation'!$A$46:$F$120,2,0),""))&amp;""</f>
        <v/>
      </c>
      <c r="D162" s="242" t="str">
        <f aca="false">IFERROR(VLOOKUP($B162,'Institution Evaluation'!$A$55:$F$346,3,0),IFERROR(VLOOKUP($B162,'Privacy Analyst Evaluation'!$A$46:$F$120,3,0),""))&amp;""</f>
        <v/>
      </c>
      <c r="E162" s="242" t="str">
        <f aca="false">IFERROR(VLOOKUP($B162,'Institution Evaluation'!$A$55:$F$346,4,0),IFERROR(VLOOKUP($B162,'Privacy Analyst Evaluation'!$A$46:$F$120,4,0),""))&amp;""</f>
        <v/>
      </c>
      <c r="F162" s="242" t="str">
        <f aca="false">IFERROR(VLOOKUP($B162,'Institution Evaluation'!$A$55:$F$346,6,0),IFERROR(VLOOKUP($B162,'Privacy Analyst Evaluation'!$A$46:$F$120,6,0),""))&amp;""</f>
        <v/>
      </c>
      <c r="G162" s="243"/>
      <c r="H162" s="242" t="str">
        <f aca="false">IFERROR(IF($H161+1&gt;'(backend scoring)'!$Q$335,"",$H161+1),"")</f>
        <v/>
      </c>
      <c r="I162" s="242" t="str">
        <f aca="false">_xlfn.XLOOKUP($H162,'(backend scoring)'!$S$2:$S$333,'(backend scoring)'!$A$2:$A$333,"")</f>
        <v/>
      </c>
      <c r="J162" s="242" t="str">
        <f aca="false">IFERROR(VLOOKUP($I162,'Institution Evaluation'!$A$55:$F$346,2,0),IFERROR(VLOOKUP($I162,'Privacy Analyst Evaluation'!$A$46:$F$120,2,0),""))</f>
        <v/>
      </c>
      <c r="K162" s="242" t="str">
        <f aca="false">IFERROR(VLOOKUP($I162,'Institution Evaluation'!$A$55:$F$346,3,0),IFERROR(VLOOKUP($I162,'Privacy Analyst Evaluation'!$A$46:$F$120,3,0),""))&amp;""</f>
        <v/>
      </c>
      <c r="L162" s="242" t="str">
        <f aca="false">IFERROR(VLOOKUP($I162,'Institution Evaluation'!$A$55:$F$346,4,0),IFERROR(VLOOKUP($I162,'Privacy Analyst Evaluation'!$A$46:$F$120,4,0),""))&amp;""</f>
        <v/>
      </c>
      <c r="M162" s="242" t="str">
        <f aca="false">IFERROR(VLOOKUP($I162,'Institution Evaluation'!$A$55:$F$346,6,0),IFERROR(VLOOKUP($I162,'Privacy Analyst Evaluation'!$A$46:$F$120,6,0),""))&amp;""</f>
        <v/>
      </c>
    </row>
    <row r="163" customFormat="false" ht="15" hidden="false" customHeight="false" outlineLevel="0" collapsed="false">
      <c r="A163" s="242" t="str">
        <f aca="false">IFERROR(IF($A162+1&gt;'(backend scoring)'!$T$335,"",$A162+1),"")</f>
        <v/>
      </c>
      <c r="B163" s="242" t="str">
        <f aca="false">_xlfn.XLOOKUP($A163,'(backend scoring)'!$V$2:$V$333,'(backend scoring)'!$A$2:$A$333,"")</f>
        <v/>
      </c>
      <c r="C163" s="242" t="str">
        <f aca="false">IFERROR(VLOOKUP($B163,'Institution Evaluation'!$A$55:$F$346,2,0),IFERROR(VLOOKUP($B163,'Privacy Analyst Evaluation'!$A$46:$F$120,2,0),""))&amp;""</f>
        <v/>
      </c>
      <c r="D163" s="242" t="str">
        <f aca="false">IFERROR(VLOOKUP($B163,'Institution Evaluation'!$A$55:$F$346,3,0),IFERROR(VLOOKUP($B163,'Privacy Analyst Evaluation'!$A$46:$F$120,3,0),""))&amp;""</f>
        <v/>
      </c>
      <c r="E163" s="242" t="str">
        <f aca="false">IFERROR(VLOOKUP($B163,'Institution Evaluation'!$A$55:$F$346,4,0),IFERROR(VLOOKUP($B163,'Privacy Analyst Evaluation'!$A$46:$F$120,4,0),""))&amp;""</f>
        <v/>
      </c>
      <c r="F163" s="242" t="str">
        <f aca="false">IFERROR(VLOOKUP($B163,'Institution Evaluation'!$A$55:$F$346,6,0),IFERROR(VLOOKUP($B163,'Privacy Analyst Evaluation'!$A$46:$F$120,6,0),""))&amp;""</f>
        <v/>
      </c>
      <c r="G163" s="243"/>
      <c r="H163" s="242" t="str">
        <f aca="false">IFERROR(IF($H162+1&gt;'(backend scoring)'!$Q$335,"",$H162+1),"")</f>
        <v/>
      </c>
      <c r="I163" s="242" t="str">
        <f aca="false">_xlfn.XLOOKUP($H163,'(backend scoring)'!$S$2:$S$333,'(backend scoring)'!$A$2:$A$333,"")</f>
        <v/>
      </c>
      <c r="J163" s="242" t="str">
        <f aca="false">IFERROR(VLOOKUP($I163,'Institution Evaluation'!$A$55:$F$346,2,0),IFERROR(VLOOKUP($I163,'Privacy Analyst Evaluation'!$A$46:$F$120,2,0),""))</f>
        <v/>
      </c>
      <c r="K163" s="242" t="str">
        <f aca="false">IFERROR(VLOOKUP($I163,'Institution Evaluation'!$A$55:$F$346,3,0),IFERROR(VLOOKUP($I163,'Privacy Analyst Evaluation'!$A$46:$F$120,3,0),""))&amp;""</f>
        <v/>
      </c>
      <c r="L163" s="242" t="str">
        <f aca="false">IFERROR(VLOOKUP($I163,'Institution Evaluation'!$A$55:$F$346,4,0),IFERROR(VLOOKUP($I163,'Privacy Analyst Evaluation'!$A$46:$F$120,4,0),""))&amp;""</f>
        <v/>
      </c>
      <c r="M163" s="242" t="str">
        <f aca="false">IFERROR(VLOOKUP($I163,'Institution Evaluation'!$A$55:$F$346,6,0),IFERROR(VLOOKUP($I163,'Privacy Analyst Evaluation'!$A$46:$F$120,6,0),""))&amp;""</f>
        <v/>
      </c>
    </row>
    <row r="164" customFormat="false" ht="15" hidden="false" customHeight="false" outlineLevel="0" collapsed="false">
      <c r="A164" s="242" t="str">
        <f aca="false">IFERROR(IF($A163+1&gt;'(backend scoring)'!$T$335,"",$A163+1),"")</f>
        <v/>
      </c>
      <c r="B164" s="242" t="str">
        <f aca="false">_xlfn.XLOOKUP($A164,'(backend scoring)'!$V$2:$V$333,'(backend scoring)'!$A$2:$A$333,"")</f>
        <v/>
      </c>
      <c r="C164" s="242" t="str">
        <f aca="false">IFERROR(VLOOKUP($B164,'Institution Evaluation'!$A$55:$F$346,2,0),IFERROR(VLOOKUP($B164,'Privacy Analyst Evaluation'!$A$46:$F$120,2,0),""))&amp;""</f>
        <v/>
      </c>
      <c r="D164" s="242" t="str">
        <f aca="false">IFERROR(VLOOKUP($B164,'Institution Evaluation'!$A$55:$F$346,3,0),IFERROR(VLOOKUP($B164,'Privacy Analyst Evaluation'!$A$46:$F$120,3,0),""))&amp;""</f>
        <v/>
      </c>
      <c r="E164" s="242" t="str">
        <f aca="false">IFERROR(VLOOKUP($B164,'Institution Evaluation'!$A$55:$F$346,4,0),IFERROR(VLOOKUP($B164,'Privacy Analyst Evaluation'!$A$46:$F$120,4,0),""))&amp;""</f>
        <v/>
      </c>
      <c r="F164" s="242" t="str">
        <f aca="false">IFERROR(VLOOKUP($B164,'Institution Evaluation'!$A$55:$F$346,6,0),IFERROR(VLOOKUP($B164,'Privacy Analyst Evaluation'!$A$46:$F$120,6,0),""))&amp;""</f>
        <v/>
      </c>
      <c r="G164" s="243"/>
      <c r="H164" s="242" t="str">
        <f aca="false">IFERROR(IF($H163+1&gt;'(backend scoring)'!$Q$335,"",$H163+1),"")</f>
        <v/>
      </c>
      <c r="I164" s="242" t="str">
        <f aca="false">_xlfn.XLOOKUP($H164,'(backend scoring)'!$S$2:$S$333,'(backend scoring)'!$A$2:$A$333,"")</f>
        <v/>
      </c>
      <c r="J164" s="242" t="str">
        <f aca="false">IFERROR(VLOOKUP($I164,'Institution Evaluation'!$A$55:$F$346,2,0),IFERROR(VLOOKUP($I164,'Privacy Analyst Evaluation'!$A$46:$F$120,2,0),""))</f>
        <v/>
      </c>
      <c r="K164" s="242" t="str">
        <f aca="false">IFERROR(VLOOKUP($I164,'Institution Evaluation'!$A$55:$F$346,3,0),IFERROR(VLOOKUP($I164,'Privacy Analyst Evaluation'!$A$46:$F$120,3,0),""))&amp;""</f>
        <v/>
      </c>
      <c r="L164" s="242" t="str">
        <f aca="false">IFERROR(VLOOKUP($I164,'Institution Evaluation'!$A$55:$F$346,4,0),IFERROR(VLOOKUP($I164,'Privacy Analyst Evaluation'!$A$46:$F$120,4,0),""))&amp;""</f>
        <v/>
      </c>
      <c r="M164" s="242" t="str">
        <f aca="false">IFERROR(VLOOKUP($I164,'Institution Evaluation'!$A$55:$F$346,6,0),IFERROR(VLOOKUP($I164,'Privacy Analyst Evaluation'!$A$46:$F$120,6,0),""))&amp;""</f>
        <v/>
      </c>
    </row>
    <row r="165" customFormat="false" ht="15" hidden="false" customHeight="false" outlineLevel="0" collapsed="false">
      <c r="A165" s="242" t="str">
        <f aca="false">IFERROR(IF($A164+1&gt;'(backend scoring)'!$T$335,"",$A164+1),"")</f>
        <v/>
      </c>
      <c r="B165" s="242" t="str">
        <f aca="false">_xlfn.XLOOKUP($A165,'(backend scoring)'!$V$2:$V$333,'(backend scoring)'!$A$2:$A$333,"")</f>
        <v/>
      </c>
      <c r="C165" s="242" t="str">
        <f aca="false">IFERROR(VLOOKUP($B165,'Institution Evaluation'!$A$55:$F$346,2,0),IFERROR(VLOOKUP($B165,'Privacy Analyst Evaluation'!$A$46:$F$120,2,0),""))&amp;""</f>
        <v/>
      </c>
      <c r="D165" s="242" t="str">
        <f aca="false">IFERROR(VLOOKUP($B165,'Institution Evaluation'!$A$55:$F$346,3,0),IFERROR(VLOOKUP($B165,'Privacy Analyst Evaluation'!$A$46:$F$120,3,0),""))&amp;""</f>
        <v/>
      </c>
      <c r="E165" s="242" t="str">
        <f aca="false">IFERROR(VLOOKUP($B165,'Institution Evaluation'!$A$55:$F$346,4,0),IFERROR(VLOOKUP($B165,'Privacy Analyst Evaluation'!$A$46:$F$120,4,0),""))&amp;""</f>
        <v/>
      </c>
      <c r="F165" s="242" t="str">
        <f aca="false">IFERROR(VLOOKUP($B165,'Institution Evaluation'!$A$55:$F$346,6,0),IFERROR(VLOOKUP($B165,'Privacy Analyst Evaluation'!$A$46:$F$120,6,0),""))&amp;""</f>
        <v/>
      </c>
      <c r="G165" s="243"/>
      <c r="H165" s="242" t="str">
        <f aca="false">IFERROR(IF($H164+1&gt;'(backend scoring)'!$Q$335,"",$H164+1),"")</f>
        <v/>
      </c>
      <c r="I165" s="242" t="str">
        <f aca="false">_xlfn.XLOOKUP($H165,'(backend scoring)'!$S$2:$S$333,'(backend scoring)'!$A$2:$A$333,"")</f>
        <v/>
      </c>
      <c r="J165" s="242" t="str">
        <f aca="false">IFERROR(VLOOKUP($I165,'Institution Evaluation'!$A$55:$F$346,2,0),IFERROR(VLOOKUP($I165,'Privacy Analyst Evaluation'!$A$46:$F$120,2,0),""))</f>
        <v/>
      </c>
      <c r="K165" s="242" t="str">
        <f aca="false">IFERROR(VLOOKUP($I165,'Institution Evaluation'!$A$55:$F$346,3,0),IFERROR(VLOOKUP($I165,'Privacy Analyst Evaluation'!$A$46:$F$120,3,0),""))&amp;""</f>
        <v/>
      </c>
      <c r="L165" s="242" t="str">
        <f aca="false">IFERROR(VLOOKUP($I165,'Institution Evaluation'!$A$55:$F$346,4,0),IFERROR(VLOOKUP($I165,'Privacy Analyst Evaluation'!$A$46:$F$120,4,0),""))&amp;""</f>
        <v/>
      </c>
      <c r="M165" s="242" t="str">
        <f aca="false">IFERROR(VLOOKUP($I165,'Institution Evaluation'!$A$55:$F$346,6,0),IFERROR(VLOOKUP($I165,'Privacy Analyst Evaluation'!$A$46:$F$120,6,0),""))&amp;""</f>
        <v/>
      </c>
    </row>
    <row r="166" customFormat="false" ht="15" hidden="false" customHeight="false" outlineLevel="0" collapsed="false">
      <c r="A166" s="242" t="str">
        <f aca="false">IFERROR(IF($A165+1&gt;'(backend scoring)'!$T$335,"",$A165+1),"")</f>
        <v/>
      </c>
      <c r="B166" s="242" t="str">
        <f aca="false">_xlfn.XLOOKUP($A166,'(backend scoring)'!$V$2:$V$333,'(backend scoring)'!$A$2:$A$333,"")</f>
        <v/>
      </c>
      <c r="C166" s="242" t="str">
        <f aca="false">IFERROR(VLOOKUP($B166,'Institution Evaluation'!$A$55:$F$346,2,0),IFERROR(VLOOKUP($B166,'Privacy Analyst Evaluation'!$A$46:$F$120,2,0),""))&amp;""</f>
        <v/>
      </c>
      <c r="D166" s="242" t="str">
        <f aca="false">IFERROR(VLOOKUP($B166,'Institution Evaluation'!$A$55:$F$346,3,0),IFERROR(VLOOKUP($B166,'Privacy Analyst Evaluation'!$A$46:$F$120,3,0),""))&amp;""</f>
        <v/>
      </c>
      <c r="E166" s="242" t="str">
        <f aca="false">IFERROR(VLOOKUP($B166,'Institution Evaluation'!$A$55:$F$346,4,0),IFERROR(VLOOKUP($B166,'Privacy Analyst Evaluation'!$A$46:$F$120,4,0),""))&amp;""</f>
        <v/>
      </c>
      <c r="F166" s="242" t="str">
        <f aca="false">IFERROR(VLOOKUP($B166,'Institution Evaluation'!$A$55:$F$346,6,0),IFERROR(VLOOKUP($B166,'Privacy Analyst Evaluation'!$A$46:$F$120,6,0),""))&amp;""</f>
        <v/>
      </c>
      <c r="G166" s="243"/>
      <c r="H166" s="242" t="str">
        <f aca="false">IFERROR(IF($H165+1&gt;'(backend scoring)'!$Q$335,"",$H165+1),"")</f>
        <v/>
      </c>
      <c r="I166" s="242" t="str">
        <f aca="false">_xlfn.XLOOKUP($H166,'(backend scoring)'!$S$2:$S$333,'(backend scoring)'!$A$2:$A$333,"")</f>
        <v/>
      </c>
      <c r="J166" s="242" t="str">
        <f aca="false">IFERROR(VLOOKUP($I166,'Institution Evaluation'!$A$55:$F$346,2,0),IFERROR(VLOOKUP($I166,'Privacy Analyst Evaluation'!$A$46:$F$120,2,0),""))</f>
        <v/>
      </c>
      <c r="K166" s="242" t="str">
        <f aca="false">IFERROR(VLOOKUP($I166,'Institution Evaluation'!$A$55:$F$346,3,0),IFERROR(VLOOKUP($I166,'Privacy Analyst Evaluation'!$A$46:$F$120,3,0),""))&amp;""</f>
        <v/>
      </c>
      <c r="L166" s="242" t="str">
        <f aca="false">IFERROR(VLOOKUP($I166,'Institution Evaluation'!$A$55:$F$346,4,0),IFERROR(VLOOKUP($I166,'Privacy Analyst Evaluation'!$A$46:$F$120,4,0),""))&amp;""</f>
        <v/>
      </c>
      <c r="M166" s="242" t="str">
        <f aca="false">IFERROR(VLOOKUP($I166,'Institution Evaluation'!$A$55:$F$346,6,0),IFERROR(VLOOKUP($I166,'Privacy Analyst Evaluation'!$A$46:$F$120,6,0),""))&amp;""</f>
        <v/>
      </c>
    </row>
    <row r="167" customFormat="false" ht="15" hidden="false" customHeight="false" outlineLevel="0" collapsed="false">
      <c r="A167" s="242" t="str">
        <f aca="false">IFERROR(IF($A166+1&gt;'(backend scoring)'!$T$335,"",$A166+1),"")</f>
        <v/>
      </c>
      <c r="B167" s="242" t="str">
        <f aca="false">_xlfn.XLOOKUP($A167,'(backend scoring)'!$V$2:$V$333,'(backend scoring)'!$A$2:$A$333,"")</f>
        <v/>
      </c>
      <c r="C167" s="242" t="str">
        <f aca="false">IFERROR(VLOOKUP($B167,'Institution Evaluation'!$A$55:$F$346,2,0),IFERROR(VLOOKUP($B167,'Privacy Analyst Evaluation'!$A$46:$F$120,2,0),""))&amp;""</f>
        <v/>
      </c>
      <c r="D167" s="242" t="str">
        <f aca="false">IFERROR(VLOOKUP($B167,'Institution Evaluation'!$A$55:$F$346,3,0),IFERROR(VLOOKUP($B167,'Privacy Analyst Evaluation'!$A$46:$F$120,3,0),""))&amp;""</f>
        <v/>
      </c>
      <c r="E167" s="242" t="str">
        <f aca="false">IFERROR(VLOOKUP($B167,'Institution Evaluation'!$A$55:$F$346,4,0),IFERROR(VLOOKUP($B167,'Privacy Analyst Evaluation'!$A$46:$F$120,4,0),""))&amp;""</f>
        <v/>
      </c>
      <c r="F167" s="242" t="str">
        <f aca="false">IFERROR(VLOOKUP($B167,'Institution Evaluation'!$A$55:$F$346,6,0),IFERROR(VLOOKUP($B167,'Privacy Analyst Evaluation'!$A$46:$F$120,6,0),""))&amp;""</f>
        <v/>
      </c>
      <c r="G167" s="243"/>
      <c r="H167" s="242" t="str">
        <f aca="false">IFERROR(IF($H166+1&gt;'(backend scoring)'!$Q$335,"",$H166+1),"")</f>
        <v/>
      </c>
      <c r="I167" s="242" t="str">
        <f aca="false">_xlfn.XLOOKUP($H167,'(backend scoring)'!$S$2:$S$333,'(backend scoring)'!$A$2:$A$333,"")</f>
        <v/>
      </c>
      <c r="J167" s="242" t="str">
        <f aca="false">IFERROR(VLOOKUP($I167,'Institution Evaluation'!$A$55:$F$346,2,0),IFERROR(VLOOKUP($I167,'Privacy Analyst Evaluation'!$A$46:$F$120,2,0),""))</f>
        <v/>
      </c>
      <c r="K167" s="242" t="str">
        <f aca="false">IFERROR(VLOOKUP($I167,'Institution Evaluation'!$A$55:$F$346,3,0),IFERROR(VLOOKUP($I167,'Privacy Analyst Evaluation'!$A$46:$F$120,3,0),""))&amp;""</f>
        <v/>
      </c>
      <c r="L167" s="242" t="str">
        <f aca="false">IFERROR(VLOOKUP($I167,'Institution Evaluation'!$A$55:$F$346,4,0),IFERROR(VLOOKUP($I167,'Privacy Analyst Evaluation'!$A$46:$F$120,4,0),""))&amp;""</f>
        <v/>
      </c>
      <c r="M167" s="242" t="str">
        <f aca="false">IFERROR(VLOOKUP($I167,'Institution Evaluation'!$A$55:$F$346,6,0),IFERROR(VLOOKUP($I167,'Privacy Analyst Evaluation'!$A$46:$F$120,6,0),""))&amp;""</f>
        <v/>
      </c>
    </row>
    <row r="168" customFormat="false" ht="15" hidden="false" customHeight="false" outlineLevel="0" collapsed="false">
      <c r="A168" s="242" t="str">
        <f aca="false">IFERROR(IF($A167+1&gt;'(backend scoring)'!$T$335,"",$A167+1),"")</f>
        <v/>
      </c>
      <c r="B168" s="242" t="str">
        <f aca="false">_xlfn.XLOOKUP($A168,'(backend scoring)'!$V$2:$V$333,'(backend scoring)'!$A$2:$A$333,"")</f>
        <v/>
      </c>
      <c r="C168" s="242" t="str">
        <f aca="false">IFERROR(VLOOKUP($B168,'Institution Evaluation'!$A$55:$F$346,2,0),IFERROR(VLOOKUP($B168,'Privacy Analyst Evaluation'!$A$46:$F$120,2,0),""))&amp;""</f>
        <v/>
      </c>
      <c r="D168" s="242" t="str">
        <f aca="false">IFERROR(VLOOKUP($B168,'Institution Evaluation'!$A$55:$F$346,3,0),IFERROR(VLOOKUP($B168,'Privacy Analyst Evaluation'!$A$46:$F$120,3,0),""))&amp;""</f>
        <v/>
      </c>
      <c r="E168" s="242" t="str">
        <f aca="false">IFERROR(VLOOKUP($B168,'Institution Evaluation'!$A$55:$F$346,4,0),IFERROR(VLOOKUP($B168,'Privacy Analyst Evaluation'!$A$46:$F$120,4,0),""))&amp;""</f>
        <v/>
      </c>
      <c r="F168" s="242" t="str">
        <f aca="false">IFERROR(VLOOKUP($B168,'Institution Evaluation'!$A$55:$F$346,6,0),IFERROR(VLOOKUP($B168,'Privacy Analyst Evaluation'!$A$46:$F$120,6,0),""))&amp;""</f>
        <v/>
      </c>
      <c r="G168" s="243"/>
      <c r="H168" s="242" t="str">
        <f aca="false">IFERROR(IF($H167+1&gt;'(backend scoring)'!$Q$335,"",$H167+1),"")</f>
        <v/>
      </c>
      <c r="I168" s="242" t="str">
        <f aca="false">_xlfn.XLOOKUP($H168,'(backend scoring)'!$S$2:$S$333,'(backend scoring)'!$A$2:$A$333,"")</f>
        <v/>
      </c>
      <c r="J168" s="242" t="str">
        <f aca="false">IFERROR(VLOOKUP($I168,'Institution Evaluation'!$A$55:$F$346,2,0),IFERROR(VLOOKUP($I168,'Privacy Analyst Evaluation'!$A$46:$F$120,2,0),""))</f>
        <v/>
      </c>
      <c r="K168" s="242" t="str">
        <f aca="false">IFERROR(VLOOKUP($I168,'Institution Evaluation'!$A$55:$F$346,3,0),IFERROR(VLOOKUP($I168,'Privacy Analyst Evaluation'!$A$46:$F$120,3,0),""))&amp;""</f>
        <v/>
      </c>
      <c r="L168" s="242" t="str">
        <f aca="false">IFERROR(VLOOKUP($I168,'Institution Evaluation'!$A$55:$F$346,4,0),IFERROR(VLOOKUP($I168,'Privacy Analyst Evaluation'!$A$46:$F$120,4,0),""))&amp;""</f>
        <v/>
      </c>
      <c r="M168" s="242" t="str">
        <f aca="false">IFERROR(VLOOKUP($I168,'Institution Evaluation'!$A$55:$F$346,6,0),IFERROR(VLOOKUP($I168,'Privacy Analyst Evaluation'!$A$46:$F$120,6,0),""))&amp;""</f>
        <v/>
      </c>
    </row>
    <row r="169" customFormat="false" ht="15" hidden="false" customHeight="false" outlineLevel="0" collapsed="false">
      <c r="A169" s="242" t="str">
        <f aca="false">IFERROR(IF($A168+1&gt;'(backend scoring)'!$T$335,"",$A168+1),"")</f>
        <v/>
      </c>
      <c r="B169" s="242" t="str">
        <f aca="false">_xlfn.XLOOKUP($A169,'(backend scoring)'!$V$2:$V$333,'(backend scoring)'!$A$2:$A$333,"")</f>
        <v/>
      </c>
      <c r="C169" s="242" t="str">
        <f aca="false">IFERROR(VLOOKUP($B169,'Institution Evaluation'!$A$55:$F$346,2,0),IFERROR(VLOOKUP($B169,'Privacy Analyst Evaluation'!$A$46:$F$120,2,0),""))&amp;""</f>
        <v/>
      </c>
      <c r="D169" s="242" t="str">
        <f aca="false">IFERROR(VLOOKUP($B169,'Institution Evaluation'!$A$55:$F$346,3,0),IFERROR(VLOOKUP($B169,'Privacy Analyst Evaluation'!$A$46:$F$120,3,0),""))&amp;""</f>
        <v/>
      </c>
      <c r="E169" s="242" t="str">
        <f aca="false">IFERROR(VLOOKUP($B169,'Institution Evaluation'!$A$55:$F$346,4,0),IFERROR(VLOOKUP($B169,'Privacy Analyst Evaluation'!$A$46:$F$120,4,0),""))&amp;""</f>
        <v/>
      </c>
      <c r="F169" s="242" t="str">
        <f aca="false">IFERROR(VLOOKUP($B169,'Institution Evaluation'!$A$55:$F$346,6,0),IFERROR(VLOOKUP($B169,'Privacy Analyst Evaluation'!$A$46:$F$120,6,0),""))&amp;""</f>
        <v/>
      </c>
      <c r="G169" s="243"/>
      <c r="H169" s="242" t="str">
        <f aca="false">IFERROR(IF($H168+1&gt;'(backend scoring)'!$Q$335,"",$H168+1),"")</f>
        <v/>
      </c>
      <c r="I169" s="242" t="str">
        <f aca="false">_xlfn.XLOOKUP($H169,'(backend scoring)'!$S$2:$S$333,'(backend scoring)'!$A$2:$A$333,"")</f>
        <v/>
      </c>
      <c r="J169" s="242" t="str">
        <f aca="false">IFERROR(VLOOKUP($I169,'Institution Evaluation'!$A$55:$F$346,2,0),IFERROR(VLOOKUP($I169,'Privacy Analyst Evaluation'!$A$46:$F$120,2,0),""))</f>
        <v/>
      </c>
      <c r="K169" s="242" t="str">
        <f aca="false">IFERROR(VLOOKUP($I169,'Institution Evaluation'!$A$55:$F$346,3,0),IFERROR(VLOOKUP($I169,'Privacy Analyst Evaluation'!$A$46:$F$120,3,0),""))&amp;""</f>
        <v/>
      </c>
      <c r="L169" s="242" t="str">
        <f aca="false">IFERROR(VLOOKUP($I169,'Institution Evaluation'!$A$55:$F$346,4,0),IFERROR(VLOOKUP($I169,'Privacy Analyst Evaluation'!$A$46:$F$120,4,0),""))&amp;""</f>
        <v/>
      </c>
      <c r="M169" s="242" t="str">
        <f aca="false">IFERROR(VLOOKUP($I169,'Institution Evaluation'!$A$55:$F$346,6,0),IFERROR(VLOOKUP($I169,'Privacy Analyst Evaluation'!$A$46:$F$120,6,0),""))&amp;""</f>
        <v/>
      </c>
    </row>
    <row r="170" customFormat="false" ht="15" hidden="false" customHeight="false" outlineLevel="0" collapsed="false">
      <c r="A170" s="242" t="str">
        <f aca="false">IFERROR(IF($A169+1&gt;'(backend scoring)'!$T$335,"",$A169+1),"")</f>
        <v/>
      </c>
      <c r="B170" s="242" t="str">
        <f aca="false">_xlfn.XLOOKUP($A170,'(backend scoring)'!$V$2:$V$333,'(backend scoring)'!$A$2:$A$333,"")</f>
        <v/>
      </c>
      <c r="C170" s="242" t="str">
        <f aca="false">IFERROR(VLOOKUP($B170,'Institution Evaluation'!$A$55:$F$346,2,0),IFERROR(VLOOKUP($B170,'Privacy Analyst Evaluation'!$A$46:$F$120,2,0),""))&amp;""</f>
        <v/>
      </c>
      <c r="D170" s="242" t="str">
        <f aca="false">IFERROR(VLOOKUP($B170,'Institution Evaluation'!$A$55:$F$346,3,0),IFERROR(VLOOKUP($B170,'Privacy Analyst Evaluation'!$A$46:$F$120,3,0),""))&amp;""</f>
        <v/>
      </c>
      <c r="E170" s="242" t="str">
        <f aca="false">IFERROR(VLOOKUP($B170,'Institution Evaluation'!$A$55:$F$346,4,0),IFERROR(VLOOKUP($B170,'Privacy Analyst Evaluation'!$A$46:$F$120,4,0),""))&amp;""</f>
        <v/>
      </c>
      <c r="F170" s="242" t="str">
        <f aca="false">IFERROR(VLOOKUP($B170,'Institution Evaluation'!$A$55:$F$346,6,0),IFERROR(VLOOKUP($B170,'Privacy Analyst Evaluation'!$A$46:$F$120,6,0),""))&amp;""</f>
        <v/>
      </c>
      <c r="G170" s="243"/>
      <c r="H170" s="242" t="str">
        <f aca="false">IFERROR(IF($H169+1&gt;'(backend scoring)'!$Q$335,"",$H169+1),"")</f>
        <v/>
      </c>
      <c r="I170" s="242" t="str">
        <f aca="false">_xlfn.XLOOKUP($H170,'(backend scoring)'!$S$2:$S$333,'(backend scoring)'!$A$2:$A$333,"")</f>
        <v/>
      </c>
      <c r="J170" s="242" t="str">
        <f aca="false">IFERROR(VLOOKUP($I170,'Institution Evaluation'!$A$55:$F$346,2,0),IFERROR(VLOOKUP($I170,'Privacy Analyst Evaluation'!$A$46:$F$120,2,0),""))</f>
        <v/>
      </c>
      <c r="K170" s="242" t="str">
        <f aca="false">IFERROR(VLOOKUP($I170,'Institution Evaluation'!$A$55:$F$346,3,0),IFERROR(VLOOKUP($I170,'Privacy Analyst Evaluation'!$A$46:$F$120,3,0),""))&amp;""</f>
        <v/>
      </c>
      <c r="L170" s="242" t="str">
        <f aca="false">IFERROR(VLOOKUP($I170,'Institution Evaluation'!$A$55:$F$346,4,0),IFERROR(VLOOKUP($I170,'Privacy Analyst Evaluation'!$A$46:$F$120,4,0),""))&amp;""</f>
        <v/>
      </c>
      <c r="M170" s="242" t="str">
        <f aca="false">IFERROR(VLOOKUP($I170,'Institution Evaluation'!$A$55:$F$346,6,0),IFERROR(VLOOKUP($I170,'Privacy Analyst Evaluation'!$A$46:$F$120,6,0),""))&amp;""</f>
        <v/>
      </c>
    </row>
    <row r="171" customFormat="false" ht="15" hidden="false" customHeight="false" outlineLevel="0" collapsed="false">
      <c r="A171" s="242" t="str">
        <f aca="false">IFERROR(IF($A170+1&gt;'(backend scoring)'!$T$335,"",$A170+1),"")</f>
        <v/>
      </c>
      <c r="B171" s="242" t="str">
        <f aca="false">_xlfn.XLOOKUP($A171,'(backend scoring)'!$V$2:$V$333,'(backend scoring)'!$A$2:$A$333,"")</f>
        <v/>
      </c>
      <c r="C171" s="242" t="str">
        <f aca="false">IFERROR(VLOOKUP($B171,'Institution Evaluation'!$A$55:$F$346,2,0),IFERROR(VLOOKUP($B171,'Privacy Analyst Evaluation'!$A$46:$F$120,2,0),""))&amp;""</f>
        <v/>
      </c>
      <c r="D171" s="242" t="str">
        <f aca="false">IFERROR(VLOOKUP($B171,'Institution Evaluation'!$A$55:$F$346,3,0),IFERROR(VLOOKUP($B171,'Privacy Analyst Evaluation'!$A$46:$F$120,3,0),""))&amp;""</f>
        <v/>
      </c>
      <c r="E171" s="242" t="str">
        <f aca="false">IFERROR(VLOOKUP($B171,'Institution Evaluation'!$A$55:$F$346,4,0),IFERROR(VLOOKUP($B171,'Privacy Analyst Evaluation'!$A$46:$F$120,4,0),""))&amp;""</f>
        <v/>
      </c>
      <c r="F171" s="242" t="str">
        <f aca="false">IFERROR(VLOOKUP($B171,'Institution Evaluation'!$A$55:$F$346,6,0),IFERROR(VLOOKUP($B171,'Privacy Analyst Evaluation'!$A$46:$F$120,6,0),""))&amp;""</f>
        <v/>
      </c>
      <c r="G171" s="243"/>
      <c r="H171" s="242" t="str">
        <f aca="false">IFERROR(IF($H170+1&gt;'(backend scoring)'!$Q$335,"",$H170+1),"")</f>
        <v/>
      </c>
      <c r="I171" s="242" t="str">
        <f aca="false">_xlfn.XLOOKUP($H171,'(backend scoring)'!$S$2:$S$333,'(backend scoring)'!$A$2:$A$333,"")</f>
        <v/>
      </c>
      <c r="J171" s="242" t="str">
        <f aca="false">IFERROR(VLOOKUP($I171,'Institution Evaluation'!$A$55:$F$346,2,0),IFERROR(VLOOKUP($I171,'Privacy Analyst Evaluation'!$A$46:$F$120,2,0),""))</f>
        <v/>
      </c>
      <c r="K171" s="242" t="str">
        <f aca="false">IFERROR(VLOOKUP($I171,'Institution Evaluation'!$A$55:$F$346,3,0),IFERROR(VLOOKUP($I171,'Privacy Analyst Evaluation'!$A$46:$F$120,3,0),""))&amp;""</f>
        <v/>
      </c>
      <c r="L171" s="242" t="str">
        <f aca="false">IFERROR(VLOOKUP($I171,'Institution Evaluation'!$A$55:$F$346,4,0),IFERROR(VLOOKUP($I171,'Privacy Analyst Evaluation'!$A$46:$F$120,4,0),""))&amp;""</f>
        <v/>
      </c>
      <c r="M171" s="242" t="str">
        <f aca="false">IFERROR(VLOOKUP($I171,'Institution Evaluation'!$A$55:$F$346,6,0),IFERROR(VLOOKUP($I171,'Privacy Analyst Evaluation'!$A$46:$F$120,6,0),""))&amp;""</f>
        <v/>
      </c>
    </row>
    <row r="172" customFormat="false" ht="15" hidden="false" customHeight="false" outlineLevel="0" collapsed="false">
      <c r="A172" s="242" t="str">
        <f aca="false">IFERROR(IF($A171+1&gt;'(backend scoring)'!$T$335,"",$A171+1),"")</f>
        <v/>
      </c>
      <c r="B172" s="242" t="str">
        <f aca="false">_xlfn.XLOOKUP($A172,'(backend scoring)'!$V$2:$V$333,'(backend scoring)'!$A$2:$A$333,"")</f>
        <v/>
      </c>
      <c r="C172" s="242" t="str">
        <f aca="false">IFERROR(VLOOKUP($B172,'Institution Evaluation'!$A$55:$F$346,2,0),IFERROR(VLOOKUP($B172,'Privacy Analyst Evaluation'!$A$46:$F$120,2,0),""))&amp;""</f>
        <v/>
      </c>
      <c r="D172" s="242" t="str">
        <f aca="false">IFERROR(VLOOKUP($B172,'Institution Evaluation'!$A$55:$F$346,3,0),IFERROR(VLOOKUP($B172,'Privacy Analyst Evaluation'!$A$46:$F$120,3,0),""))&amp;""</f>
        <v/>
      </c>
      <c r="E172" s="242" t="str">
        <f aca="false">IFERROR(VLOOKUP($B172,'Institution Evaluation'!$A$55:$F$346,4,0),IFERROR(VLOOKUP($B172,'Privacy Analyst Evaluation'!$A$46:$F$120,4,0),""))&amp;""</f>
        <v/>
      </c>
      <c r="F172" s="242" t="str">
        <f aca="false">IFERROR(VLOOKUP($B172,'Institution Evaluation'!$A$55:$F$346,6,0),IFERROR(VLOOKUP($B172,'Privacy Analyst Evaluation'!$A$46:$F$120,6,0),""))&amp;""</f>
        <v/>
      </c>
      <c r="G172" s="243"/>
      <c r="H172" s="242" t="str">
        <f aca="false">IFERROR(IF($H171+1&gt;'(backend scoring)'!$Q$335,"",$H171+1),"")</f>
        <v/>
      </c>
      <c r="I172" s="242" t="str">
        <f aca="false">_xlfn.XLOOKUP($H172,'(backend scoring)'!$S$2:$S$333,'(backend scoring)'!$A$2:$A$333,"")</f>
        <v/>
      </c>
      <c r="J172" s="242" t="str">
        <f aca="false">IFERROR(VLOOKUP($I172,'Institution Evaluation'!$A$55:$F$346,2,0),IFERROR(VLOOKUP($I172,'Privacy Analyst Evaluation'!$A$46:$F$120,2,0),""))</f>
        <v/>
      </c>
      <c r="K172" s="242" t="str">
        <f aca="false">IFERROR(VLOOKUP($I172,'Institution Evaluation'!$A$55:$F$346,3,0),IFERROR(VLOOKUP($I172,'Privacy Analyst Evaluation'!$A$46:$F$120,3,0),""))&amp;""</f>
        <v/>
      </c>
      <c r="L172" s="242" t="str">
        <f aca="false">IFERROR(VLOOKUP($I172,'Institution Evaluation'!$A$55:$F$346,4,0),IFERROR(VLOOKUP($I172,'Privacy Analyst Evaluation'!$A$46:$F$120,4,0),""))&amp;""</f>
        <v/>
      </c>
      <c r="M172" s="242" t="str">
        <f aca="false">IFERROR(VLOOKUP($I172,'Institution Evaluation'!$A$55:$F$346,6,0),IFERROR(VLOOKUP($I172,'Privacy Analyst Evaluation'!$A$46:$F$120,6,0),""))&amp;""</f>
        <v/>
      </c>
    </row>
    <row r="173" customFormat="false" ht="15" hidden="false" customHeight="false" outlineLevel="0" collapsed="false">
      <c r="A173" s="242" t="str">
        <f aca="false">IFERROR(IF($A172+1&gt;'(backend scoring)'!$T$335,"",$A172+1),"")</f>
        <v/>
      </c>
      <c r="B173" s="242" t="str">
        <f aca="false">_xlfn.XLOOKUP($A173,'(backend scoring)'!$V$2:$V$333,'(backend scoring)'!$A$2:$A$333,"")</f>
        <v/>
      </c>
      <c r="C173" s="242" t="str">
        <f aca="false">IFERROR(VLOOKUP($B173,'Institution Evaluation'!$A$55:$F$346,2,0),IFERROR(VLOOKUP($B173,'Privacy Analyst Evaluation'!$A$46:$F$120,2,0),""))&amp;""</f>
        <v/>
      </c>
      <c r="D173" s="242" t="str">
        <f aca="false">IFERROR(VLOOKUP($B173,'Institution Evaluation'!$A$55:$F$346,3,0),IFERROR(VLOOKUP($B173,'Privacy Analyst Evaluation'!$A$46:$F$120,3,0),""))&amp;""</f>
        <v/>
      </c>
      <c r="E173" s="242" t="str">
        <f aca="false">IFERROR(VLOOKUP($B173,'Institution Evaluation'!$A$55:$F$346,4,0),IFERROR(VLOOKUP($B173,'Privacy Analyst Evaluation'!$A$46:$F$120,4,0),""))&amp;""</f>
        <v/>
      </c>
      <c r="F173" s="242" t="str">
        <f aca="false">IFERROR(VLOOKUP($B173,'Institution Evaluation'!$A$55:$F$346,6,0),IFERROR(VLOOKUP($B173,'Privacy Analyst Evaluation'!$A$46:$F$120,6,0),""))&amp;""</f>
        <v/>
      </c>
      <c r="G173" s="243"/>
      <c r="H173" s="242" t="str">
        <f aca="false">IFERROR(IF($H172+1&gt;'(backend scoring)'!$Q$335,"",$H172+1),"")</f>
        <v/>
      </c>
      <c r="I173" s="242" t="str">
        <f aca="false">_xlfn.XLOOKUP($H173,'(backend scoring)'!$S$2:$S$333,'(backend scoring)'!$A$2:$A$333,"")</f>
        <v/>
      </c>
      <c r="J173" s="242" t="str">
        <f aca="false">IFERROR(VLOOKUP($I173,'Institution Evaluation'!$A$55:$F$346,2,0),IFERROR(VLOOKUP($I173,'Privacy Analyst Evaluation'!$A$46:$F$120,2,0),""))</f>
        <v/>
      </c>
      <c r="K173" s="242" t="str">
        <f aca="false">IFERROR(VLOOKUP($I173,'Institution Evaluation'!$A$55:$F$346,3,0),IFERROR(VLOOKUP($I173,'Privacy Analyst Evaluation'!$A$46:$F$120,3,0),""))&amp;""</f>
        <v/>
      </c>
      <c r="L173" s="242" t="str">
        <f aca="false">IFERROR(VLOOKUP($I173,'Institution Evaluation'!$A$55:$F$346,4,0),IFERROR(VLOOKUP($I173,'Privacy Analyst Evaluation'!$A$46:$F$120,4,0),""))&amp;""</f>
        <v/>
      </c>
      <c r="M173" s="242" t="str">
        <f aca="false">IFERROR(VLOOKUP($I173,'Institution Evaluation'!$A$55:$F$346,6,0),IFERROR(VLOOKUP($I173,'Privacy Analyst Evaluation'!$A$46:$F$120,6,0),""))&amp;""</f>
        <v/>
      </c>
    </row>
    <row r="174" customFormat="false" ht="15" hidden="false" customHeight="false" outlineLevel="0" collapsed="false">
      <c r="A174" s="242" t="str">
        <f aca="false">IFERROR(IF($A173+1&gt;'(backend scoring)'!$T$335,"",$A173+1),"")</f>
        <v/>
      </c>
      <c r="B174" s="242" t="str">
        <f aca="false">_xlfn.XLOOKUP($A174,'(backend scoring)'!$V$2:$V$333,'(backend scoring)'!$A$2:$A$333,"")</f>
        <v/>
      </c>
      <c r="C174" s="242" t="str">
        <f aca="false">IFERROR(VLOOKUP($B174,'Institution Evaluation'!$A$55:$F$346,2,0),IFERROR(VLOOKUP($B174,'Privacy Analyst Evaluation'!$A$46:$F$120,2,0),""))&amp;""</f>
        <v/>
      </c>
      <c r="D174" s="242" t="str">
        <f aca="false">IFERROR(VLOOKUP($B174,'Institution Evaluation'!$A$55:$F$346,3,0),IFERROR(VLOOKUP($B174,'Privacy Analyst Evaluation'!$A$46:$F$120,3,0),""))&amp;""</f>
        <v/>
      </c>
      <c r="E174" s="242" t="str">
        <f aca="false">IFERROR(VLOOKUP($B174,'Institution Evaluation'!$A$55:$F$346,4,0),IFERROR(VLOOKUP($B174,'Privacy Analyst Evaluation'!$A$46:$F$120,4,0),""))&amp;""</f>
        <v/>
      </c>
      <c r="F174" s="242" t="str">
        <f aca="false">IFERROR(VLOOKUP($B174,'Institution Evaluation'!$A$55:$F$346,6,0),IFERROR(VLOOKUP($B174,'Privacy Analyst Evaluation'!$A$46:$F$120,6,0),""))&amp;""</f>
        <v/>
      </c>
      <c r="G174" s="243"/>
      <c r="H174" s="242" t="str">
        <f aca="false">IFERROR(IF($H173+1&gt;'(backend scoring)'!$Q$335,"",$H173+1),"")</f>
        <v/>
      </c>
      <c r="I174" s="242" t="str">
        <f aca="false">_xlfn.XLOOKUP($H174,'(backend scoring)'!$S$2:$S$333,'(backend scoring)'!$A$2:$A$333,"")</f>
        <v/>
      </c>
      <c r="J174" s="242" t="str">
        <f aca="false">IFERROR(VLOOKUP($I174,'Institution Evaluation'!$A$55:$F$346,2,0),IFERROR(VLOOKUP($I174,'Privacy Analyst Evaluation'!$A$46:$F$120,2,0),""))</f>
        <v/>
      </c>
      <c r="K174" s="242" t="str">
        <f aca="false">IFERROR(VLOOKUP($I174,'Institution Evaluation'!$A$55:$F$346,3,0),IFERROR(VLOOKUP($I174,'Privacy Analyst Evaluation'!$A$46:$F$120,3,0),""))&amp;""</f>
        <v/>
      </c>
      <c r="L174" s="242" t="str">
        <f aca="false">IFERROR(VLOOKUP($I174,'Institution Evaluation'!$A$55:$F$346,4,0),IFERROR(VLOOKUP($I174,'Privacy Analyst Evaluation'!$A$46:$F$120,4,0),""))&amp;""</f>
        <v/>
      </c>
      <c r="M174" s="242" t="str">
        <f aca="false">IFERROR(VLOOKUP($I174,'Institution Evaluation'!$A$55:$F$346,6,0),IFERROR(VLOOKUP($I174,'Privacy Analyst Evaluation'!$A$46:$F$120,6,0),""))&amp;""</f>
        <v/>
      </c>
    </row>
    <row r="175" customFormat="false" ht="15" hidden="false" customHeight="false" outlineLevel="0" collapsed="false">
      <c r="A175" s="242" t="str">
        <f aca="false">IFERROR(IF($A174+1&gt;'(backend scoring)'!$T$335,"",$A174+1),"")</f>
        <v/>
      </c>
      <c r="B175" s="242" t="str">
        <f aca="false">_xlfn.XLOOKUP($A175,'(backend scoring)'!$V$2:$V$333,'(backend scoring)'!$A$2:$A$333,"")</f>
        <v/>
      </c>
      <c r="C175" s="242" t="str">
        <f aca="false">IFERROR(VLOOKUP($B175,'Institution Evaluation'!$A$55:$F$346,2,0),IFERROR(VLOOKUP($B175,'Privacy Analyst Evaluation'!$A$46:$F$120,2,0),""))&amp;""</f>
        <v/>
      </c>
      <c r="D175" s="242" t="str">
        <f aca="false">IFERROR(VLOOKUP($B175,'Institution Evaluation'!$A$55:$F$346,3,0),IFERROR(VLOOKUP($B175,'Privacy Analyst Evaluation'!$A$46:$F$120,3,0),""))&amp;""</f>
        <v/>
      </c>
      <c r="E175" s="242" t="str">
        <f aca="false">IFERROR(VLOOKUP($B175,'Institution Evaluation'!$A$55:$F$346,4,0),IFERROR(VLOOKUP($B175,'Privacy Analyst Evaluation'!$A$46:$F$120,4,0),""))&amp;""</f>
        <v/>
      </c>
      <c r="F175" s="242" t="str">
        <f aca="false">IFERROR(VLOOKUP($B175,'Institution Evaluation'!$A$55:$F$346,6,0),IFERROR(VLOOKUP($B175,'Privacy Analyst Evaluation'!$A$46:$F$120,6,0),""))&amp;""</f>
        <v/>
      </c>
      <c r="G175" s="243"/>
      <c r="H175" s="242" t="str">
        <f aca="false">IFERROR(IF($H174+1&gt;'(backend scoring)'!$Q$335,"",$H174+1),"")</f>
        <v/>
      </c>
      <c r="I175" s="242" t="str">
        <f aca="false">_xlfn.XLOOKUP($H175,'(backend scoring)'!$S$2:$S$333,'(backend scoring)'!$A$2:$A$333,"")</f>
        <v/>
      </c>
      <c r="J175" s="242" t="str">
        <f aca="false">IFERROR(VLOOKUP($I175,'Institution Evaluation'!$A$55:$F$346,2,0),IFERROR(VLOOKUP($I175,'Privacy Analyst Evaluation'!$A$46:$F$120,2,0),""))</f>
        <v/>
      </c>
      <c r="K175" s="242" t="str">
        <f aca="false">IFERROR(VLOOKUP($I175,'Institution Evaluation'!$A$55:$F$346,3,0),IFERROR(VLOOKUP($I175,'Privacy Analyst Evaluation'!$A$46:$F$120,3,0),""))&amp;""</f>
        <v/>
      </c>
      <c r="L175" s="242" t="str">
        <f aca="false">IFERROR(VLOOKUP($I175,'Institution Evaluation'!$A$55:$F$346,4,0),IFERROR(VLOOKUP($I175,'Privacy Analyst Evaluation'!$A$46:$F$120,4,0),""))&amp;""</f>
        <v/>
      </c>
      <c r="M175" s="242" t="str">
        <f aca="false">IFERROR(VLOOKUP($I175,'Institution Evaluation'!$A$55:$F$346,6,0),IFERROR(VLOOKUP($I175,'Privacy Analyst Evaluation'!$A$46:$F$120,6,0),""))&amp;""</f>
        <v/>
      </c>
    </row>
    <row r="176" customFormat="false" ht="15" hidden="false" customHeight="false" outlineLevel="0" collapsed="false">
      <c r="A176" s="242" t="str">
        <f aca="false">IFERROR(IF($A175+1&gt;'(backend scoring)'!$T$335,"",$A175+1),"")</f>
        <v/>
      </c>
      <c r="B176" s="242" t="str">
        <f aca="false">_xlfn.XLOOKUP($A176,'(backend scoring)'!$V$2:$V$333,'(backend scoring)'!$A$2:$A$333,"")</f>
        <v/>
      </c>
      <c r="C176" s="242" t="str">
        <f aca="false">IFERROR(VLOOKUP($B176,'Institution Evaluation'!$A$55:$F$346,2,0),IFERROR(VLOOKUP($B176,'Privacy Analyst Evaluation'!$A$46:$F$120,2,0),""))&amp;""</f>
        <v/>
      </c>
      <c r="D176" s="242" t="str">
        <f aca="false">IFERROR(VLOOKUP($B176,'Institution Evaluation'!$A$55:$F$346,3,0),IFERROR(VLOOKUP($B176,'Privacy Analyst Evaluation'!$A$46:$F$120,3,0),""))&amp;""</f>
        <v/>
      </c>
      <c r="E176" s="242" t="str">
        <f aca="false">IFERROR(VLOOKUP($B176,'Institution Evaluation'!$A$55:$F$346,4,0),IFERROR(VLOOKUP($B176,'Privacy Analyst Evaluation'!$A$46:$F$120,4,0),""))&amp;""</f>
        <v/>
      </c>
      <c r="F176" s="242" t="str">
        <f aca="false">IFERROR(VLOOKUP($B176,'Institution Evaluation'!$A$55:$F$346,6,0),IFERROR(VLOOKUP($B176,'Privacy Analyst Evaluation'!$A$46:$F$120,6,0),""))&amp;""</f>
        <v/>
      </c>
      <c r="G176" s="243"/>
      <c r="H176" s="242" t="str">
        <f aca="false">IFERROR(IF($H175+1&gt;'(backend scoring)'!$Q$335,"",$H175+1),"")</f>
        <v/>
      </c>
      <c r="I176" s="242" t="str">
        <f aca="false">_xlfn.XLOOKUP($H176,'(backend scoring)'!$S$2:$S$333,'(backend scoring)'!$A$2:$A$333,"")</f>
        <v/>
      </c>
      <c r="J176" s="242" t="str">
        <f aca="false">IFERROR(VLOOKUP($I176,'Institution Evaluation'!$A$55:$F$346,2,0),IFERROR(VLOOKUP($I176,'Privacy Analyst Evaluation'!$A$46:$F$120,2,0),""))</f>
        <v/>
      </c>
      <c r="K176" s="242" t="str">
        <f aca="false">IFERROR(VLOOKUP($I176,'Institution Evaluation'!$A$55:$F$346,3,0),IFERROR(VLOOKUP($I176,'Privacy Analyst Evaluation'!$A$46:$F$120,3,0),""))&amp;""</f>
        <v/>
      </c>
      <c r="L176" s="242" t="str">
        <f aca="false">IFERROR(VLOOKUP($I176,'Institution Evaluation'!$A$55:$F$346,4,0),IFERROR(VLOOKUP($I176,'Privacy Analyst Evaluation'!$A$46:$F$120,4,0),""))&amp;""</f>
        <v/>
      </c>
      <c r="M176" s="242" t="str">
        <f aca="false">IFERROR(VLOOKUP($I176,'Institution Evaluation'!$A$55:$F$346,6,0),IFERROR(VLOOKUP($I176,'Privacy Analyst Evaluation'!$A$46:$F$120,6,0),""))&amp;""</f>
        <v/>
      </c>
    </row>
    <row r="177" customFormat="false" ht="15" hidden="false" customHeight="false" outlineLevel="0" collapsed="false">
      <c r="A177" s="242" t="str">
        <f aca="false">IFERROR(IF($A176+1&gt;'(backend scoring)'!$T$335,"",$A176+1),"")</f>
        <v/>
      </c>
      <c r="B177" s="242" t="str">
        <f aca="false">_xlfn.XLOOKUP($A177,'(backend scoring)'!$V$2:$V$333,'(backend scoring)'!$A$2:$A$333,"")</f>
        <v/>
      </c>
      <c r="C177" s="242" t="str">
        <f aca="false">IFERROR(VLOOKUP($B177,'Institution Evaluation'!$A$55:$F$346,2,0),IFERROR(VLOOKUP($B177,'Privacy Analyst Evaluation'!$A$46:$F$120,2,0),""))&amp;""</f>
        <v/>
      </c>
      <c r="D177" s="242" t="str">
        <f aca="false">IFERROR(VLOOKUP($B177,'Institution Evaluation'!$A$55:$F$346,3,0),IFERROR(VLOOKUP($B177,'Privacy Analyst Evaluation'!$A$46:$F$120,3,0),""))&amp;""</f>
        <v/>
      </c>
      <c r="E177" s="242" t="str">
        <f aca="false">IFERROR(VLOOKUP($B177,'Institution Evaluation'!$A$55:$F$346,4,0),IFERROR(VLOOKUP($B177,'Privacy Analyst Evaluation'!$A$46:$F$120,4,0),""))&amp;""</f>
        <v/>
      </c>
      <c r="F177" s="242" t="str">
        <f aca="false">IFERROR(VLOOKUP($B177,'Institution Evaluation'!$A$55:$F$346,6,0),IFERROR(VLOOKUP($B177,'Privacy Analyst Evaluation'!$A$46:$F$120,6,0),""))&amp;""</f>
        <v/>
      </c>
      <c r="G177" s="243"/>
      <c r="H177" s="242" t="str">
        <f aca="false">IFERROR(IF($H176+1&gt;'(backend scoring)'!$Q$335,"",$H176+1),"")</f>
        <v/>
      </c>
      <c r="I177" s="242" t="str">
        <f aca="false">_xlfn.XLOOKUP($H177,'(backend scoring)'!$S$2:$S$333,'(backend scoring)'!$A$2:$A$333,"")</f>
        <v/>
      </c>
      <c r="J177" s="242" t="str">
        <f aca="false">IFERROR(VLOOKUP($I177,'Institution Evaluation'!$A$55:$F$346,2,0),IFERROR(VLOOKUP($I177,'Privacy Analyst Evaluation'!$A$46:$F$120,2,0),""))</f>
        <v/>
      </c>
      <c r="K177" s="242" t="str">
        <f aca="false">IFERROR(VLOOKUP($I177,'Institution Evaluation'!$A$55:$F$346,3,0),IFERROR(VLOOKUP($I177,'Privacy Analyst Evaluation'!$A$46:$F$120,3,0),""))&amp;""</f>
        <v/>
      </c>
      <c r="L177" s="242" t="str">
        <f aca="false">IFERROR(VLOOKUP($I177,'Institution Evaluation'!$A$55:$F$346,4,0),IFERROR(VLOOKUP($I177,'Privacy Analyst Evaluation'!$A$46:$F$120,4,0),""))&amp;""</f>
        <v/>
      </c>
      <c r="M177" s="242" t="str">
        <f aca="false">IFERROR(VLOOKUP($I177,'Institution Evaluation'!$A$55:$F$346,6,0),IFERROR(VLOOKUP($I177,'Privacy Analyst Evaluation'!$A$46:$F$120,6,0),""))&amp;""</f>
        <v/>
      </c>
    </row>
    <row r="178" customFormat="false" ht="15" hidden="false" customHeight="false" outlineLevel="0" collapsed="false">
      <c r="A178" s="242" t="str">
        <f aca="false">IFERROR(IF($A177+1&gt;'(backend scoring)'!$T$335,"",$A177+1),"")</f>
        <v/>
      </c>
      <c r="B178" s="242" t="str">
        <f aca="false">_xlfn.XLOOKUP($A178,'(backend scoring)'!$V$2:$V$333,'(backend scoring)'!$A$2:$A$333,"")</f>
        <v/>
      </c>
      <c r="C178" s="242" t="str">
        <f aca="false">IFERROR(VLOOKUP($B178,'Institution Evaluation'!$A$55:$F$346,2,0),IFERROR(VLOOKUP($B178,'Privacy Analyst Evaluation'!$A$46:$F$120,2,0),""))&amp;""</f>
        <v/>
      </c>
      <c r="D178" s="242" t="str">
        <f aca="false">IFERROR(VLOOKUP($B178,'Institution Evaluation'!$A$55:$F$346,3,0),IFERROR(VLOOKUP($B178,'Privacy Analyst Evaluation'!$A$46:$F$120,3,0),""))&amp;""</f>
        <v/>
      </c>
      <c r="E178" s="242" t="str">
        <f aca="false">IFERROR(VLOOKUP($B178,'Institution Evaluation'!$A$55:$F$346,4,0),IFERROR(VLOOKUP($B178,'Privacy Analyst Evaluation'!$A$46:$F$120,4,0),""))&amp;""</f>
        <v/>
      </c>
      <c r="F178" s="242" t="str">
        <f aca="false">IFERROR(VLOOKUP($B178,'Institution Evaluation'!$A$55:$F$346,6,0),IFERROR(VLOOKUP($B178,'Privacy Analyst Evaluation'!$A$46:$F$120,6,0),""))&amp;""</f>
        <v/>
      </c>
      <c r="G178" s="243"/>
      <c r="H178" s="242" t="str">
        <f aca="false">IFERROR(IF($H177+1&gt;'(backend scoring)'!$Q$335,"",$H177+1),"")</f>
        <v/>
      </c>
      <c r="I178" s="242" t="str">
        <f aca="false">_xlfn.XLOOKUP($H178,'(backend scoring)'!$S$2:$S$333,'(backend scoring)'!$A$2:$A$333,"")</f>
        <v/>
      </c>
      <c r="J178" s="242" t="str">
        <f aca="false">IFERROR(VLOOKUP($I178,'Institution Evaluation'!$A$55:$F$346,2,0),IFERROR(VLOOKUP($I178,'Privacy Analyst Evaluation'!$A$46:$F$120,2,0),""))</f>
        <v/>
      </c>
      <c r="K178" s="242" t="str">
        <f aca="false">IFERROR(VLOOKUP($I178,'Institution Evaluation'!$A$55:$F$346,3,0),IFERROR(VLOOKUP($I178,'Privacy Analyst Evaluation'!$A$46:$F$120,3,0),""))&amp;""</f>
        <v/>
      </c>
      <c r="L178" s="242" t="str">
        <f aca="false">IFERROR(VLOOKUP($I178,'Institution Evaluation'!$A$55:$F$346,4,0),IFERROR(VLOOKUP($I178,'Privacy Analyst Evaluation'!$A$46:$F$120,4,0),""))&amp;""</f>
        <v/>
      </c>
      <c r="M178" s="242" t="str">
        <f aca="false">IFERROR(VLOOKUP($I178,'Institution Evaluation'!$A$55:$F$346,6,0),IFERROR(VLOOKUP($I178,'Privacy Analyst Evaluation'!$A$46:$F$120,6,0),""))&amp;""</f>
        <v/>
      </c>
    </row>
    <row r="179" customFormat="false" ht="15" hidden="false" customHeight="false" outlineLevel="0" collapsed="false">
      <c r="A179" s="242" t="str">
        <f aca="false">IFERROR(IF($A178+1&gt;'(backend scoring)'!$T$335,"",$A178+1),"")</f>
        <v/>
      </c>
      <c r="B179" s="242" t="str">
        <f aca="false">_xlfn.XLOOKUP($A179,'(backend scoring)'!$V$2:$V$333,'(backend scoring)'!$A$2:$A$333,"")</f>
        <v/>
      </c>
      <c r="C179" s="242" t="str">
        <f aca="false">IFERROR(VLOOKUP($B179,'Institution Evaluation'!$A$55:$F$346,2,0),IFERROR(VLOOKUP($B179,'Privacy Analyst Evaluation'!$A$46:$F$120,2,0),""))&amp;""</f>
        <v/>
      </c>
      <c r="D179" s="242" t="str">
        <f aca="false">IFERROR(VLOOKUP($B179,'Institution Evaluation'!$A$55:$F$346,3,0),IFERROR(VLOOKUP($B179,'Privacy Analyst Evaluation'!$A$46:$F$120,3,0),""))&amp;""</f>
        <v/>
      </c>
      <c r="E179" s="242" t="str">
        <f aca="false">IFERROR(VLOOKUP($B179,'Institution Evaluation'!$A$55:$F$346,4,0),IFERROR(VLOOKUP($B179,'Privacy Analyst Evaluation'!$A$46:$F$120,4,0),""))&amp;""</f>
        <v/>
      </c>
      <c r="F179" s="242" t="str">
        <f aca="false">IFERROR(VLOOKUP($B179,'Institution Evaluation'!$A$55:$F$346,6,0),IFERROR(VLOOKUP($B179,'Privacy Analyst Evaluation'!$A$46:$F$120,6,0),""))&amp;""</f>
        <v/>
      </c>
      <c r="G179" s="243"/>
      <c r="H179" s="242" t="str">
        <f aca="false">IFERROR(IF($H178+1&gt;'(backend scoring)'!$Q$335,"",$H178+1),"")</f>
        <v/>
      </c>
      <c r="I179" s="242" t="str">
        <f aca="false">_xlfn.XLOOKUP($H179,'(backend scoring)'!$S$2:$S$333,'(backend scoring)'!$A$2:$A$333,"")</f>
        <v/>
      </c>
      <c r="J179" s="242" t="str">
        <f aca="false">IFERROR(VLOOKUP($I179,'Institution Evaluation'!$A$55:$F$346,2,0),IFERROR(VLOOKUP($I179,'Privacy Analyst Evaluation'!$A$46:$F$120,2,0),""))</f>
        <v/>
      </c>
      <c r="K179" s="242" t="str">
        <f aca="false">IFERROR(VLOOKUP($I179,'Institution Evaluation'!$A$55:$F$346,3,0),IFERROR(VLOOKUP($I179,'Privacy Analyst Evaluation'!$A$46:$F$120,3,0),""))&amp;""</f>
        <v/>
      </c>
      <c r="L179" s="242" t="str">
        <f aca="false">IFERROR(VLOOKUP($I179,'Institution Evaluation'!$A$55:$F$346,4,0),IFERROR(VLOOKUP($I179,'Privacy Analyst Evaluation'!$A$46:$F$120,4,0),""))&amp;""</f>
        <v/>
      </c>
      <c r="M179" s="242" t="str">
        <f aca="false">IFERROR(VLOOKUP($I179,'Institution Evaluation'!$A$55:$F$346,6,0),IFERROR(VLOOKUP($I179,'Privacy Analyst Evaluation'!$A$46:$F$120,6,0),""))&amp;""</f>
        <v/>
      </c>
    </row>
    <row r="180" customFormat="false" ht="15" hidden="false" customHeight="false" outlineLevel="0" collapsed="false">
      <c r="A180" s="242" t="str">
        <f aca="false">IFERROR(IF($A179+1&gt;'(backend scoring)'!$T$335,"",$A179+1),"")</f>
        <v/>
      </c>
      <c r="B180" s="242" t="str">
        <f aca="false">_xlfn.XLOOKUP($A180,'(backend scoring)'!$V$2:$V$333,'(backend scoring)'!$A$2:$A$333,"")</f>
        <v/>
      </c>
      <c r="C180" s="242" t="str">
        <f aca="false">IFERROR(VLOOKUP($B180,'Institution Evaluation'!$A$55:$F$346,2,0),IFERROR(VLOOKUP($B180,'Privacy Analyst Evaluation'!$A$46:$F$120,2,0),""))&amp;""</f>
        <v/>
      </c>
      <c r="D180" s="242" t="str">
        <f aca="false">IFERROR(VLOOKUP($B180,'Institution Evaluation'!$A$55:$F$346,3,0),IFERROR(VLOOKUP($B180,'Privacy Analyst Evaluation'!$A$46:$F$120,3,0),""))&amp;""</f>
        <v/>
      </c>
      <c r="E180" s="242" t="str">
        <f aca="false">IFERROR(VLOOKUP($B180,'Institution Evaluation'!$A$55:$F$346,4,0),IFERROR(VLOOKUP($B180,'Privacy Analyst Evaluation'!$A$46:$F$120,4,0),""))&amp;""</f>
        <v/>
      </c>
      <c r="F180" s="242" t="str">
        <f aca="false">IFERROR(VLOOKUP($B180,'Institution Evaluation'!$A$55:$F$346,6,0),IFERROR(VLOOKUP($B180,'Privacy Analyst Evaluation'!$A$46:$F$120,6,0),""))&amp;""</f>
        <v/>
      </c>
      <c r="G180" s="243"/>
      <c r="H180" s="242" t="str">
        <f aca="false">IFERROR(IF($H179+1&gt;'(backend scoring)'!$Q$335,"",$H179+1),"")</f>
        <v/>
      </c>
      <c r="I180" s="242" t="str">
        <f aca="false">_xlfn.XLOOKUP($H180,'(backend scoring)'!$S$2:$S$333,'(backend scoring)'!$A$2:$A$333,"")</f>
        <v/>
      </c>
      <c r="J180" s="242" t="str">
        <f aca="false">IFERROR(VLOOKUP($I180,'Institution Evaluation'!$A$55:$F$346,2,0),IFERROR(VLOOKUP($I180,'Privacy Analyst Evaluation'!$A$46:$F$120,2,0),""))</f>
        <v/>
      </c>
      <c r="K180" s="242" t="str">
        <f aca="false">IFERROR(VLOOKUP($I180,'Institution Evaluation'!$A$55:$F$346,3,0),IFERROR(VLOOKUP($I180,'Privacy Analyst Evaluation'!$A$46:$F$120,3,0),""))&amp;""</f>
        <v/>
      </c>
      <c r="L180" s="242" t="str">
        <f aca="false">IFERROR(VLOOKUP($I180,'Institution Evaluation'!$A$55:$F$346,4,0),IFERROR(VLOOKUP($I180,'Privacy Analyst Evaluation'!$A$46:$F$120,4,0),""))&amp;""</f>
        <v/>
      </c>
      <c r="M180" s="242" t="str">
        <f aca="false">IFERROR(VLOOKUP($I180,'Institution Evaluation'!$A$55:$F$346,6,0),IFERROR(VLOOKUP($I180,'Privacy Analyst Evaluation'!$A$46:$F$120,6,0),""))&amp;""</f>
        <v/>
      </c>
    </row>
    <row r="181" customFormat="false" ht="15" hidden="false" customHeight="false" outlineLevel="0" collapsed="false">
      <c r="A181" s="242" t="str">
        <f aca="false">IFERROR(IF($A180+1&gt;'(backend scoring)'!$T$335,"",$A180+1),"")</f>
        <v/>
      </c>
      <c r="B181" s="242" t="str">
        <f aca="false">_xlfn.XLOOKUP($A181,'(backend scoring)'!$V$2:$V$333,'(backend scoring)'!$A$2:$A$333,"")</f>
        <v/>
      </c>
      <c r="C181" s="242" t="str">
        <f aca="false">IFERROR(VLOOKUP($B181,'Institution Evaluation'!$A$55:$F$346,2,0),IFERROR(VLOOKUP($B181,'Privacy Analyst Evaluation'!$A$46:$F$120,2,0),""))&amp;""</f>
        <v/>
      </c>
      <c r="D181" s="242" t="str">
        <f aca="false">IFERROR(VLOOKUP($B181,'Institution Evaluation'!$A$55:$F$346,3,0),IFERROR(VLOOKUP($B181,'Privacy Analyst Evaluation'!$A$46:$F$120,3,0),""))&amp;""</f>
        <v/>
      </c>
      <c r="E181" s="242" t="str">
        <f aca="false">IFERROR(VLOOKUP($B181,'Institution Evaluation'!$A$55:$F$346,4,0),IFERROR(VLOOKUP($B181,'Privacy Analyst Evaluation'!$A$46:$F$120,4,0),""))&amp;""</f>
        <v/>
      </c>
      <c r="F181" s="242" t="str">
        <f aca="false">IFERROR(VLOOKUP($B181,'Institution Evaluation'!$A$55:$F$346,6,0),IFERROR(VLOOKUP($B181,'Privacy Analyst Evaluation'!$A$46:$F$120,6,0),""))&amp;""</f>
        <v/>
      </c>
      <c r="G181" s="243"/>
      <c r="H181" s="242" t="str">
        <f aca="false">IFERROR(IF($H180+1&gt;'(backend scoring)'!$Q$335,"",$H180+1),"")</f>
        <v/>
      </c>
      <c r="I181" s="242" t="str">
        <f aca="false">_xlfn.XLOOKUP($H181,'(backend scoring)'!$S$2:$S$333,'(backend scoring)'!$A$2:$A$333,"")</f>
        <v/>
      </c>
      <c r="J181" s="242" t="str">
        <f aca="false">IFERROR(VLOOKUP($I181,'Institution Evaluation'!$A$55:$F$346,2,0),IFERROR(VLOOKUP($I181,'Privacy Analyst Evaluation'!$A$46:$F$120,2,0),""))</f>
        <v/>
      </c>
      <c r="K181" s="242" t="str">
        <f aca="false">IFERROR(VLOOKUP($I181,'Institution Evaluation'!$A$55:$F$346,3,0),IFERROR(VLOOKUP($I181,'Privacy Analyst Evaluation'!$A$46:$F$120,3,0),""))&amp;""</f>
        <v/>
      </c>
      <c r="L181" s="242" t="str">
        <f aca="false">IFERROR(VLOOKUP($I181,'Institution Evaluation'!$A$55:$F$346,4,0),IFERROR(VLOOKUP($I181,'Privacy Analyst Evaluation'!$A$46:$F$120,4,0),""))&amp;""</f>
        <v/>
      </c>
      <c r="M181" s="242" t="str">
        <f aca="false">IFERROR(VLOOKUP($I181,'Institution Evaluation'!$A$55:$F$346,6,0),IFERROR(VLOOKUP($I181,'Privacy Analyst Evaluation'!$A$46:$F$120,6,0),""))&amp;""</f>
        <v/>
      </c>
    </row>
    <row r="182" customFormat="false" ht="15" hidden="false" customHeight="false" outlineLevel="0" collapsed="false">
      <c r="A182" s="242" t="str">
        <f aca="false">IFERROR(IF($A181+1&gt;'(backend scoring)'!$T$335,"",$A181+1),"")</f>
        <v/>
      </c>
      <c r="B182" s="242" t="str">
        <f aca="false">_xlfn.XLOOKUP($A182,'(backend scoring)'!$V$2:$V$333,'(backend scoring)'!$A$2:$A$333,"")</f>
        <v/>
      </c>
      <c r="C182" s="242" t="str">
        <f aca="false">IFERROR(VLOOKUP($B182,'Institution Evaluation'!$A$55:$F$346,2,0),IFERROR(VLOOKUP($B182,'Privacy Analyst Evaluation'!$A$46:$F$120,2,0),""))&amp;""</f>
        <v/>
      </c>
      <c r="D182" s="242" t="str">
        <f aca="false">IFERROR(VLOOKUP($B182,'Institution Evaluation'!$A$55:$F$346,3,0),IFERROR(VLOOKUP($B182,'Privacy Analyst Evaluation'!$A$46:$F$120,3,0),""))&amp;""</f>
        <v/>
      </c>
      <c r="E182" s="242" t="str">
        <f aca="false">IFERROR(VLOOKUP($B182,'Institution Evaluation'!$A$55:$F$346,4,0),IFERROR(VLOOKUP($B182,'Privacy Analyst Evaluation'!$A$46:$F$120,4,0),""))&amp;""</f>
        <v/>
      </c>
      <c r="F182" s="242" t="str">
        <f aca="false">IFERROR(VLOOKUP($B182,'Institution Evaluation'!$A$55:$F$346,6,0),IFERROR(VLOOKUP($B182,'Privacy Analyst Evaluation'!$A$46:$F$120,6,0),""))&amp;""</f>
        <v/>
      </c>
      <c r="G182" s="243"/>
      <c r="H182" s="242" t="str">
        <f aca="false">IFERROR(IF($H181+1&gt;'(backend scoring)'!$Q$335,"",$H181+1),"")</f>
        <v/>
      </c>
      <c r="I182" s="242" t="str">
        <f aca="false">_xlfn.XLOOKUP($H182,'(backend scoring)'!$S$2:$S$333,'(backend scoring)'!$A$2:$A$333,"")</f>
        <v/>
      </c>
      <c r="J182" s="242" t="str">
        <f aca="false">IFERROR(VLOOKUP($I182,'Institution Evaluation'!$A$55:$F$346,2,0),IFERROR(VLOOKUP($I182,'Privacy Analyst Evaluation'!$A$46:$F$120,2,0),""))</f>
        <v/>
      </c>
      <c r="K182" s="242" t="str">
        <f aca="false">IFERROR(VLOOKUP($I182,'Institution Evaluation'!$A$55:$F$346,3,0),IFERROR(VLOOKUP($I182,'Privacy Analyst Evaluation'!$A$46:$F$120,3,0),""))&amp;""</f>
        <v/>
      </c>
      <c r="L182" s="242" t="str">
        <f aca="false">IFERROR(VLOOKUP($I182,'Institution Evaluation'!$A$55:$F$346,4,0),IFERROR(VLOOKUP($I182,'Privacy Analyst Evaluation'!$A$46:$F$120,4,0),""))&amp;""</f>
        <v/>
      </c>
      <c r="M182" s="242" t="str">
        <f aca="false">IFERROR(VLOOKUP($I182,'Institution Evaluation'!$A$55:$F$346,6,0),IFERROR(VLOOKUP($I182,'Privacy Analyst Evaluation'!$A$46:$F$120,6,0),""))&amp;""</f>
        <v/>
      </c>
    </row>
    <row r="183" customFormat="false" ht="15" hidden="false" customHeight="false" outlineLevel="0" collapsed="false">
      <c r="A183" s="242" t="str">
        <f aca="false">IFERROR(IF($A182+1&gt;'(backend scoring)'!$T$335,"",$A182+1),"")</f>
        <v/>
      </c>
      <c r="B183" s="242" t="str">
        <f aca="false">_xlfn.XLOOKUP($A183,'(backend scoring)'!$V$2:$V$333,'(backend scoring)'!$A$2:$A$333,"")</f>
        <v/>
      </c>
      <c r="C183" s="242" t="str">
        <f aca="false">IFERROR(VLOOKUP($B183,'Institution Evaluation'!$A$55:$F$346,2,0),IFERROR(VLOOKUP($B183,'Privacy Analyst Evaluation'!$A$46:$F$120,2,0),""))&amp;""</f>
        <v/>
      </c>
      <c r="D183" s="242" t="str">
        <f aca="false">IFERROR(VLOOKUP($B183,'Institution Evaluation'!$A$55:$F$346,3,0),IFERROR(VLOOKUP($B183,'Privacy Analyst Evaluation'!$A$46:$F$120,3,0),""))&amp;""</f>
        <v/>
      </c>
      <c r="E183" s="242" t="str">
        <f aca="false">IFERROR(VLOOKUP($B183,'Institution Evaluation'!$A$55:$F$346,4,0),IFERROR(VLOOKUP($B183,'Privacy Analyst Evaluation'!$A$46:$F$120,4,0),""))&amp;""</f>
        <v/>
      </c>
      <c r="F183" s="242" t="str">
        <f aca="false">IFERROR(VLOOKUP($B183,'Institution Evaluation'!$A$55:$F$346,6,0),IFERROR(VLOOKUP($B183,'Privacy Analyst Evaluation'!$A$46:$F$120,6,0),""))&amp;""</f>
        <v/>
      </c>
      <c r="G183" s="243"/>
      <c r="H183" s="242" t="str">
        <f aca="false">IFERROR(IF($H182+1&gt;'(backend scoring)'!$Q$335,"",$H182+1),"")</f>
        <v/>
      </c>
      <c r="I183" s="242" t="str">
        <f aca="false">_xlfn.XLOOKUP($H183,'(backend scoring)'!$S$2:$S$333,'(backend scoring)'!$A$2:$A$333,"")</f>
        <v/>
      </c>
      <c r="J183" s="242" t="str">
        <f aca="false">IFERROR(VLOOKUP($I183,'Institution Evaluation'!$A$55:$F$346,2,0),IFERROR(VLOOKUP($I183,'Privacy Analyst Evaluation'!$A$46:$F$120,2,0),""))</f>
        <v/>
      </c>
      <c r="K183" s="242" t="str">
        <f aca="false">IFERROR(VLOOKUP($I183,'Institution Evaluation'!$A$55:$F$346,3,0),IFERROR(VLOOKUP($I183,'Privacy Analyst Evaluation'!$A$46:$F$120,3,0),""))&amp;""</f>
        <v/>
      </c>
      <c r="L183" s="242" t="str">
        <f aca="false">IFERROR(VLOOKUP($I183,'Institution Evaluation'!$A$55:$F$346,4,0),IFERROR(VLOOKUP($I183,'Privacy Analyst Evaluation'!$A$46:$F$120,4,0),""))&amp;""</f>
        <v/>
      </c>
      <c r="M183" s="242" t="str">
        <f aca="false">IFERROR(VLOOKUP($I183,'Institution Evaluation'!$A$55:$F$346,6,0),IFERROR(VLOOKUP($I183,'Privacy Analyst Evaluation'!$A$46:$F$120,6,0),""))&amp;""</f>
        <v/>
      </c>
    </row>
    <row r="184" customFormat="false" ht="15" hidden="false" customHeight="false" outlineLevel="0" collapsed="false">
      <c r="A184" s="242" t="str">
        <f aca="false">IFERROR(IF($A183+1&gt;'(backend scoring)'!$T$335,"",$A183+1),"")</f>
        <v/>
      </c>
      <c r="B184" s="242" t="str">
        <f aca="false">_xlfn.XLOOKUP($A184,'(backend scoring)'!$V$2:$V$333,'(backend scoring)'!$A$2:$A$333,"")</f>
        <v/>
      </c>
      <c r="C184" s="242" t="str">
        <f aca="false">IFERROR(VLOOKUP($B184,'Institution Evaluation'!$A$55:$F$346,2,0),IFERROR(VLOOKUP($B184,'Privacy Analyst Evaluation'!$A$46:$F$120,2,0),""))&amp;""</f>
        <v/>
      </c>
      <c r="D184" s="242" t="str">
        <f aca="false">IFERROR(VLOOKUP($B184,'Institution Evaluation'!$A$55:$F$346,3,0),IFERROR(VLOOKUP($B184,'Privacy Analyst Evaluation'!$A$46:$F$120,3,0),""))&amp;""</f>
        <v/>
      </c>
      <c r="E184" s="242" t="str">
        <f aca="false">IFERROR(VLOOKUP($B184,'Institution Evaluation'!$A$55:$F$346,4,0),IFERROR(VLOOKUP($B184,'Privacy Analyst Evaluation'!$A$46:$F$120,4,0),""))&amp;""</f>
        <v/>
      </c>
      <c r="F184" s="242" t="str">
        <f aca="false">IFERROR(VLOOKUP($B184,'Institution Evaluation'!$A$55:$F$346,6,0),IFERROR(VLOOKUP($B184,'Privacy Analyst Evaluation'!$A$46:$F$120,6,0),""))&amp;""</f>
        <v/>
      </c>
      <c r="G184" s="243"/>
      <c r="H184" s="242" t="str">
        <f aca="false">IFERROR(IF($H183+1&gt;'(backend scoring)'!$Q$335,"",$H183+1),"")</f>
        <v/>
      </c>
      <c r="I184" s="242" t="str">
        <f aca="false">_xlfn.XLOOKUP($H184,'(backend scoring)'!$S$2:$S$333,'(backend scoring)'!$A$2:$A$333,"")</f>
        <v/>
      </c>
      <c r="J184" s="242" t="str">
        <f aca="false">IFERROR(VLOOKUP($I184,'Institution Evaluation'!$A$55:$F$346,2,0),IFERROR(VLOOKUP($I184,'Privacy Analyst Evaluation'!$A$46:$F$120,2,0),""))</f>
        <v/>
      </c>
      <c r="K184" s="242" t="str">
        <f aca="false">IFERROR(VLOOKUP($I184,'Institution Evaluation'!$A$55:$F$346,3,0),IFERROR(VLOOKUP($I184,'Privacy Analyst Evaluation'!$A$46:$F$120,3,0),""))&amp;""</f>
        <v/>
      </c>
      <c r="L184" s="242" t="str">
        <f aca="false">IFERROR(VLOOKUP($I184,'Institution Evaluation'!$A$55:$F$346,4,0),IFERROR(VLOOKUP($I184,'Privacy Analyst Evaluation'!$A$46:$F$120,4,0),""))&amp;""</f>
        <v/>
      </c>
      <c r="M184" s="242" t="str">
        <f aca="false">IFERROR(VLOOKUP($I184,'Institution Evaluation'!$A$55:$F$346,6,0),IFERROR(VLOOKUP($I184,'Privacy Analyst Evaluation'!$A$46:$F$120,6,0),""))&amp;""</f>
        <v/>
      </c>
    </row>
    <row r="185" customFormat="false" ht="15" hidden="false" customHeight="false" outlineLevel="0" collapsed="false">
      <c r="A185" s="242" t="str">
        <f aca="false">IFERROR(IF($A184+1&gt;'(backend scoring)'!$T$335,"",$A184+1),"")</f>
        <v/>
      </c>
      <c r="B185" s="242" t="str">
        <f aca="false">_xlfn.XLOOKUP($A185,'(backend scoring)'!$V$2:$V$333,'(backend scoring)'!$A$2:$A$333,"")</f>
        <v/>
      </c>
      <c r="C185" s="242" t="str">
        <f aca="false">IFERROR(VLOOKUP($B185,'Institution Evaluation'!$A$55:$F$346,2,0),IFERROR(VLOOKUP($B185,'Privacy Analyst Evaluation'!$A$46:$F$120,2,0),""))&amp;""</f>
        <v/>
      </c>
      <c r="D185" s="242" t="str">
        <f aca="false">IFERROR(VLOOKUP($B185,'Institution Evaluation'!$A$55:$F$346,3,0),IFERROR(VLOOKUP($B185,'Privacy Analyst Evaluation'!$A$46:$F$120,3,0),""))&amp;""</f>
        <v/>
      </c>
      <c r="E185" s="242" t="str">
        <f aca="false">IFERROR(VLOOKUP($B185,'Institution Evaluation'!$A$55:$F$346,4,0),IFERROR(VLOOKUP($B185,'Privacy Analyst Evaluation'!$A$46:$F$120,4,0),""))&amp;""</f>
        <v/>
      </c>
      <c r="F185" s="242" t="str">
        <f aca="false">IFERROR(VLOOKUP($B185,'Institution Evaluation'!$A$55:$F$346,6,0),IFERROR(VLOOKUP($B185,'Privacy Analyst Evaluation'!$A$46:$F$120,6,0),""))&amp;""</f>
        <v/>
      </c>
      <c r="G185" s="243"/>
      <c r="H185" s="242" t="str">
        <f aca="false">IFERROR(IF($H184+1&gt;'(backend scoring)'!$Q$335,"",$H184+1),"")</f>
        <v/>
      </c>
      <c r="I185" s="242" t="str">
        <f aca="false">_xlfn.XLOOKUP($H185,'(backend scoring)'!$S$2:$S$333,'(backend scoring)'!$A$2:$A$333,"")</f>
        <v/>
      </c>
      <c r="J185" s="242" t="str">
        <f aca="false">IFERROR(VLOOKUP($I185,'Institution Evaluation'!$A$55:$F$346,2,0),IFERROR(VLOOKUP($I185,'Privacy Analyst Evaluation'!$A$46:$F$120,2,0),""))</f>
        <v/>
      </c>
      <c r="K185" s="242" t="str">
        <f aca="false">IFERROR(VLOOKUP($I185,'Institution Evaluation'!$A$55:$F$346,3,0),IFERROR(VLOOKUP($I185,'Privacy Analyst Evaluation'!$A$46:$F$120,3,0),""))&amp;""</f>
        <v/>
      </c>
      <c r="L185" s="242" t="str">
        <f aca="false">IFERROR(VLOOKUP($I185,'Institution Evaluation'!$A$55:$F$346,4,0),IFERROR(VLOOKUP($I185,'Privacy Analyst Evaluation'!$A$46:$F$120,4,0),""))&amp;""</f>
        <v/>
      </c>
      <c r="M185" s="242" t="str">
        <f aca="false">IFERROR(VLOOKUP($I185,'Institution Evaluation'!$A$55:$F$346,6,0),IFERROR(VLOOKUP($I185,'Privacy Analyst Evaluation'!$A$46:$F$120,6,0),""))&amp;""</f>
        <v/>
      </c>
    </row>
    <row r="186" customFormat="false" ht="15" hidden="false" customHeight="false" outlineLevel="0" collapsed="false">
      <c r="A186" s="242" t="str">
        <f aca="false">IFERROR(IF($A185+1&gt;'(backend scoring)'!$T$335,"",$A185+1),"")</f>
        <v/>
      </c>
      <c r="B186" s="242" t="str">
        <f aca="false">_xlfn.XLOOKUP($A186,'(backend scoring)'!$V$2:$V$333,'(backend scoring)'!$A$2:$A$333,"")</f>
        <v/>
      </c>
      <c r="C186" s="242" t="str">
        <f aca="false">IFERROR(VLOOKUP($B186,'Institution Evaluation'!$A$55:$F$346,2,0),IFERROR(VLOOKUP($B186,'Privacy Analyst Evaluation'!$A$46:$F$120,2,0),""))&amp;""</f>
        <v/>
      </c>
      <c r="D186" s="242" t="str">
        <f aca="false">IFERROR(VLOOKUP($B186,'Institution Evaluation'!$A$55:$F$346,3,0),IFERROR(VLOOKUP($B186,'Privacy Analyst Evaluation'!$A$46:$F$120,3,0),""))&amp;""</f>
        <v/>
      </c>
      <c r="E186" s="242" t="str">
        <f aca="false">IFERROR(VLOOKUP($B186,'Institution Evaluation'!$A$55:$F$346,4,0),IFERROR(VLOOKUP($B186,'Privacy Analyst Evaluation'!$A$46:$F$120,4,0),""))&amp;""</f>
        <v/>
      </c>
      <c r="F186" s="242" t="str">
        <f aca="false">IFERROR(VLOOKUP($B186,'Institution Evaluation'!$A$55:$F$346,6,0),IFERROR(VLOOKUP($B186,'Privacy Analyst Evaluation'!$A$46:$F$120,6,0),""))&amp;""</f>
        <v/>
      </c>
      <c r="G186" s="243"/>
      <c r="H186" s="242" t="str">
        <f aca="false">IFERROR(IF($H185+1&gt;'(backend scoring)'!$Q$335,"",$H185+1),"")</f>
        <v/>
      </c>
      <c r="I186" s="242" t="str">
        <f aca="false">_xlfn.XLOOKUP($H186,'(backend scoring)'!$S$2:$S$333,'(backend scoring)'!$A$2:$A$333,"")</f>
        <v/>
      </c>
      <c r="J186" s="242" t="str">
        <f aca="false">IFERROR(VLOOKUP($I186,'Institution Evaluation'!$A$55:$F$346,2,0),IFERROR(VLOOKUP($I186,'Privacy Analyst Evaluation'!$A$46:$F$120,2,0),""))</f>
        <v/>
      </c>
      <c r="K186" s="242" t="str">
        <f aca="false">IFERROR(VLOOKUP($I186,'Institution Evaluation'!$A$55:$F$346,3,0),IFERROR(VLOOKUP($I186,'Privacy Analyst Evaluation'!$A$46:$F$120,3,0),""))&amp;""</f>
        <v/>
      </c>
      <c r="L186" s="242" t="str">
        <f aca="false">IFERROR(VLOOKUP($I186,'Institution Evaluation'!$A$55:$F$346,4,0),IFERROR(VLOOKUP($I186,'Privacy Analyst Evaluation'!$A$46:$F$120,4,0),""))&amp;""</f>
        <v/>
      </c>
      <c r="M186" s="242" t="str">
        <f aca="false">IFERROR(VLOOKUP($I186,'Institution Evaluation'!$A$55:$F$346,6,0),IFERROR(VLOOKUP($I186,'Privacy Analyst Evaluation'!$A$46:$F$120,6,0),""))&amp;""</f>
        <v/>
      </c>
    </row>
    <row r="187" customFormat="false" ht="15" hidden="false" customHeight="false" outlineLevel="0" collapsed="false">
      <c r="A187" s="242" t="str">
        <f aca="false">IFERROR(IF($A186+1&gt;'(backend scoring)'!$T$335,"",$A186+1),"")</f>
        <v/>
      </c>
      <c r="B187" s="242" t="str">
        <f aca="false">_xlfn.XLOOKUP($A187,'(backend scoring)'!$V$2:$V$333,'(backend scoring)'!$A$2:$A$333,"")</f>
        <v/>
      </c>
      <c r="C187" s="242" t="str">
        <f aca="false">IFERROR(VLOOKUP($B187,'Institution Evaluation'!$A$55:$F$346,2,0),IFERROR(VLOOKUP($B187,'Privacy Analyst Evaluation'!$A$46:$F$120,2,0),""))&amp;""</f>
        <v/>
      </c>
      <c r="D187" s="242" t="str">
        <f aca="false">IFERROR(VLOOKUP($B187,'Institution Evaluation'!$A$55:$F$346,3,0),IFERROR(VLOOKUP($B187,'Privacy Analyst Evaluation'!$A$46:$F$120,3,0),""))&amp;""</f>
        <v/>
      </c>
      <c r="E187" s="242" t="str">
        <f aca="false">IFERROR(VLOOKUP($B187,'Institution Evaluation'!$A$55:$F$346,4,0),IFERROR(VLOOKUP($B187,'Privacy Analyst Evaluation'!$A$46:$F$120,4,0),""))&amp;""</f>
        <v/>
      </c>
      <c r="F187" s="242" t="str">
        <f aca="false">IFERROR(VLOOKUP($B187,'Institution Evaluation'!$A$55:$F$346,6,0),IFERROR(VLOOKUP($B187,'Privacy Analyst Evaluation'!$A$46:$F$120,6,0),""))&amp;""</f>
        <v/>
      </c>
      <c r="G187" s="243"/>
      <c r="H187" s="242" t="str">
        <f aca="false">IFERROR(IF($H186+1&gt;'(backend scoring)'!$Q$335,"",$H186+1),"")</f>
        <v/>
      </c>
      <c r="I187" s="242" t="str">
        <f aca="false">_xlfn.XLOOKUP($H187,'(backend scoring)'!$S$2:$S$333,'(backend scoring)'!$A$2:$A$333,"")</f>
        <v/>
      </c>
      <c r="J187" s="242" t="str">
        <f aca="false">IFERROR(VLOOKUP($I187,'Institution Evaluation'!$A$55:$F$346,2,0),IFERROR(VLOOKUP($I187,'Privacy Analyst Evaluation'!$A$46:$F$120,2,0),""))</f>
        <v/>
      </c>
      <c r="K187" s="242" t="str">
        <f aca="false">IFERROR(VLOOKUP($I187,'Institution Evaluation'!$A$55:$F$346,3,0),IFERROR(VLOOKUP($I187,'Privacy Analyst Evaluation'!$A$46:$F$120,3,0),""))&amp;""</f>
        <v/>
      </c>
      <c r="L187" s="242" t="str">
        <f aca="false">IFERROR(VLOOKUP($I187,'Institution Evaluation'!$A$55:$F$346,4,0),IFERROR(VLOOKUP($I187,'Privacy Analyst Evaluation'!$A$46:$F$120,4,0),""))&amp;""</f>
        <v/>
      </c>
      <c r="M187" s="242" t="str">
        <f aca="false">IFERROR(VLOOKUP($I187,'Institution Evaluation'!$A$55:$F$346,6,0),IFERROR(VLOOKUP($I187,'Privacy Analyst Evaluation'!$A$46:$F$120,6,0),""))&amp;""</f>
        <v/>
      </c>
    </row>
    <row r="188" customFormat="false" ht="15" hidden="false" customHeight="false" outlineLevel="0" collapsed="false">
      <c r="A188" s="242" t="str">
        <f aca="false">IFERROR(IF($A187+1&gt;'(backend scoring)'!$T$335,"",$A187+1),"")</f>
        <v/>
      </c>
      <c r="B188" s="242" t="str">
        <f aca="false">_xlfn.XLOOKUP($A188,'(backend scoring)'!$V$2:$V$333,'(backend scoring)'!$A$2:$A$333,"")</f>
        <v/>
      </c>
      <c r="C188" s="242" t="str">
        <f aca="false">IFERROR(VLOOKUP($B188,'Institution Evaluation'!$A$55:$F$346,2,0),IFERROR(VLOOKUP($B188,'Privacy Analyst Evaluation'!$A$46:$F$120,2,0),""))&amp;""</f>
        <v/>
      </c>
      <c r="D188" s="242" t="str">
        <f aca="false">IFERROR(VLOOKUP($B188,'Institution Evaluation'!$A$55:$F$346,3,0),IFERROR(VLOOKUP($B188,'Privacy Analyst Evaluation'!$A$46:$F$120,3,0),""))&amp;""</f>
        <v/>
      </c>
      <c r="E188" s="242" t="str">
        <f aca="false">IFERROR(VLOOKUP($B188,'Institution Evaluation'!$A$55:$F$346,4,0),IFERROR(VLOOKUP($B188,'Privacy Analyst Evaluation'!$A$46:$F$120,4,0),""))&amp;""</f>
        <v/>
      </c>
      <c r="F188" s="242" t="str">
        <f aca="false">IFERROR(VLOOKUP($B188,'Institution Evaluation'!$A$55:$F$346,6,0),IFERROR(VLOOKUP($B188,'Privacy Analyst Evaluation'!$A$46:$F$120,6,0),""))&amp;""</f>
        <v/>
      </c>
      <c r="G188" s="243"/>
      <c r="H188" s="242" t="str">
        <f aca="false">IFERROR(IF($H187+1&gt;'(backend scoring)'!$Q$335,"",$H187+1),"")</f>
        <v/>
      </c>
      <c r="I188" s="242" t="str">
        <f aca="false">_xlfn.XLOOKUP($H188,'(backend scoring)'!$S$2:$S$333,'(backend scoring)'!$A$2:$A$333,"")</f>
        <v/>
      </c>
      <c r="J188" s="242" t="str">
        <f aca="false">IFERROR(VLOOKUP($I188,'Institution Evaluation'!$A$55:$F$346,2,0),IFERROR(VLOOKUP($I188,'Privacy Analyst Evaluation'!$A$46:$F$120,2,0),""))</f>
        <v/>
      </c>
      <c r="K188" s="242" t="str">
        <f aca="false">IFERROR(VLOOKUP($I188,'Institution Evaluation'!$A$55:$F$346,3,0),IFERROR(VLOOKUP($I188,'Privacy Analyst Evaluation'!$A$46:$F$120,3,0),""))&amp;""</f>
        <v/>
      </c>
      <c r="L188" s="242" t="str">
        <f aca="false">IFERROR(VLOOKUP($I188,'Institution Evaluation'!$A$55:$F$346,4,0),IFERROR(VLOOKUP($I188,'Privacy Analyst Evaluation'!$A$46:$F$120,4,0),""))&amp;""</f>
        <v/>
      </c>
      <c r="M188" s="242" t="str">
        <f aca="false">IFERROR(VLOOKUP($I188,'Institution Evaluation'!$A$55:$F$346,6,0),IFERROR(VLOOKUP($I188,'Privacy Analyst Evaluation'!$A$46:$F$120,6,0),""))&amp;""</f>
        <v/>
      </c>
    </row>
    <row r="189" customFormat="false" ht="15" hidden="false" customHeight="false" outlineLevel="0" collapsed="false">
      <c r="A189" s="242" t="str">
        <f aca="false">IFERROR(IF($A188+1&gt;'(backend scoring)'!$T$335,"",$A188+1),"")</f>
        <v/>
      </c>
      <c r="B189" s="242" t="str">
        <f aca="false">_xlfn.XLOOKUP($A189,'(backend scoring)'!$V$2:$V$333,'(backend scoring)'!$A$2:$A$333,"")</f>
        <v/>
      </c>
      <c r="C189" s="242" t="str">
        <f aca="false">IFERROR(VLOOKUP($B189,'Institution Evaluation'!$A$55:$F$346,2,0),IFERROR(VLOOKUP($B189,'Privacy Analyst Evaluation'!$A$46:$F$120,2,0),""))&amp;""</f>
        <v/>
      </c>
      <c r="D189" s="242" t="str">
        <f aca="false">IFERROR(VLOOKUP($B189,'Institution Evaluation'!$A$55:$F$346,3,0),IFERROR(VLOOKUP($B189,'Privacy Analyst Evaluation'!$A$46:$F$120,3,0),""))&amp;""</f>
        <v/>
      </c>
      <c r="E189" s="242" t="str">
        <f aca="false">IFERROR(VLOOKUP($B189,'Institution Evaluation'!$A$55:$F$346,4,0),IFERROR(VLOOKUP($B189,'Privacy Analyst Evaluation'!$A$46:$F$120,4,0),""))&amp;""</f>
        <v/>
      </c>
      <c r="F189" s="242" t="str">
        <f aca="false">IFERROR(VLOOKUP($B189,'Institution Evaluation'!$A$55:$F$346,6,0),IFERROR(VLOOKUP($B189,'Privacy Analyst Evaluation'!$A$46:$F$120,6,0),""))&amp;""</f>
        <v/>
      </c>
      <c r="G189" s="243"/>
      <c r="H189" s="242" t="str">
        <f aca="false">IFERROR(IF($H188+1&gt;'(backend scoring)'!$Q$335,"",$H188+1),"")</f>
        <v/>
      </c>
      <c r="I189" s="242" t="str">
        <f aca="false">_xlfn.XLOOKUP($H189,'(backend scoring)'!$S$2:$S$333,'(backend scoring)'!$A$2:$A$333,"")</f>
        <v/>
      </c>
      <c r="J189" s="242" t="str">
        <f aca="false">IFERROR(VLOOKUP($I189,'Institution Evaluation'!$A$55:$F$346,2,0),IFERROR(VLOOKUP($I189,'Privacy Analyst Evaluation'!$A$46:$F$120,2,0),""))</f>
        <v/>
      </c>
      <c r="K189" s="242" t="str">
        <f aca="false">IFERROR(VLOOKUP($I189,'Institution Evaluation'!$A$55:$F$346,3,0),IFERROR(VLOOKUP($I189,'Privacy Analyst Evaluation'!$A$46:$F$120,3,0),""))&amp;""</f>
        <v/>
      </c>
      <c r="L189" s="242" t="str">
        <f aca="false">IFERROR(VLOOKUP($I189,'Institution Evaluation'!$A$55:$F$346,4,0),IFERROR(VLOOKUP($I189,'Privacy Analyst Evaluation'!$A$46:$F$120,4,0),""))&amp;""</f>
        <v/>
      </c>
      <c r="M189" s="242" t="str">
        <f aca="false">IFERROR(VLOOKUP($I189,'Institution Evaluation'!$A$55:$F$346,6,0),IFERROR(VLOOKUP($I189,'Privacy Analyst Evaluation'!$A$46:$F$120,6,0),""))&amp;""</f>
        <v/>
      </c>
    </row>
    <row r="190" customFormat="false" ht="15" hidden="false" customHeight="false" outlineLevel="0" collapsed="false">
      <c r="A190" s="242" t="str">
        <f aca="false">IFERROR(IF($A189+1&gt;'(backend scoring)'!$T$335,"",$A189+1),"")</f>
        <v/>
      </c>
      <c r="B190" s="242" t="str">
        <f aca="false">_xlfn.XLOOKUP($A190,'(backend scoring)'!$V$2:$V$333,'(backend scoring)'!$A$2:$A$333,"")</f>
        <v/>
      </c>
      <c r="C190" s="242" t="str">
        <f aca="false">IFERROR(VLOOKUP($B190,'Institution Evaluation'!$A$55:$F$346,2,0),IFERROR(VLOOKUP($B190,'Privacy Analyst Evaluation'!$A$46:$F$120,2,0),""))&amp;""</f>
        <v/>
      </c>
      <c r="D190" s="242" t="str">
        <f aca="false">IFERROR(VLOOKUP($B190,'Institution Evaluation'!$A$55:$F$346,3,0),IFERROR(VLOOKUP($B190,'Privacy Analyst Evaluation'!$A$46:$F$120,3,0),""))&amp;""</f>
        <v/>
      </c>
      <c r="E190" s="242" t="str">
        <f aca="false">IFERROR(VLOOKUP($B190,'Institution Evaluation'!$A$55:$F$346,4,0),IFERROR(VLOOKUP($B190,'Privacy Analyst Evaluation'!$A$46:$F$120,4,0),""))&amp;""</f>
        <v/>
      </c>
      <c r="F190" s="242" t="str">
        <f aca="false">IFERROR(VLOOKUP($B190,'Institution Evaluation'!$A$55:$F$346,6,0),IFERROR(VLOOKUP($B190,'Privacy Analyst Evaluation'!$A$46:$F$120,6,0),""))&amp;""</f>
        <v/>
      </c>
      <c r="G190" s="243"/>
      <c r="H190" s="242" t="str">
        <f aca="false">IFERROR(IF($H189+1&gt;'(backend scoring)'!$Q$335,"",$H189+1),"")</f>
        <v/>
      </c>
      <c r="I190" s="242" t="str">
        <f aca="false">_xlfn.XLOOKUP($H190,'(backend scoring)'!$S$2:$S$333,'(backend scoring)'!$A$2:$A$333,"")</f>
        <v/>
      </c>
      <c r="J190" s="242" t="str">
        <f aca="false">IFERROR(VLOOKUP($I190,'Institution Evaluation'!$A$55:$F$346,2,0),IFERROR(VLOOKUP($I190,'Privacy Analyst Evaluation'!$A$46:$F$120,2,0),""))</f>
        <v/>
      </c>
      <c r="K190" s="242" t="str">
        <f aca="false">IFERROR(VLOOKUP($I190,'Institution Evaluation'!$A$55:$F$346,3,0),IFERROR(VLOOKUP($I190,'Privacy Analyst Evaluation'!$A$46:$F$120,3,0),""))&amp;""</f>
        <v/>
      </c>
      <c r="L190" s="242" t="str">
        <f aca="false">IFERROR(VLOOKUP($I190,'Institution Evaluation'!$A$55:$F$346,4,0),IFERROR(VLOOKUP($I190,'Privacy Analyst Evaluation'!$A$46:$F$120,4,0),""))&amp;""</f>
        <v/>
      </c>
      <c r="M190" s="242" t="str">
        <f aca="false">IFERROR(VLOOKUP($I190,'Institution Evaluation'!$A$55:$F$346,6,0),IFERROR(VLOOKUP($I190,'Privacy Analyst Evaluation'!$A$46:$F$120,6,0),""))&amp;""</f>
        <v/>
      </c>
    </row>
    <row r="191" customFormat="false" ht="15" hidden="false" customHeight="false" outlineLevel="0" collapsed="false">
      <c r="A191" s="242" t="str">
        <f aca="false">IFERROR(IF($A190+1&gt;'(backend scoring)'!$T$335,"",$A190+1),"")</f>
        <v/>
      </c>
      <c r="B191" s="242" t="str">
        <f aca="false">_xlfn.XLOOKUP($A191,'(backend scoring)'!$V$2:$V$333,'(backend scoring)'!$A$2:$A$333,"")</f>
        <v/>
      </c>
      <c r="C191" s="242" t="str">
        <f aca="false">IFERROR(VLOOKUP($B191,'Institution Evaluation'!$A$55:$F$346,2,0),IFERROR(VLOOKUP($B191,'Privacy Analyst Evaluation'!$A$46:$F$120,2,0),""))&amp;""</f>
        <v/>
      </c>
      <c r="D191" s="242" t="str">
        <f aca="false">IFERROR(VLOOKUP($B191,'Institution Evaluation'!$A$55:$F$346,3,0),IFERROR(VLOOKUP($B191,'Privacy Analyst Evaluation'!$A$46:$F$120,3,0),""))&amp;""</f>
        <v/>
      </c>
      <c r="E191" s="242" t="str">
        <f aca="false">IFERROR(VLOOKUP($B191,'Institution Evaluation'!$A$55:$F$346,4,0),IFERROR(VLOOKUP($B191,'Privacy Analyst Evaluation'!$A$46:$F$120,4,0),""))&amp;""</f>
        <v/>
      </c>
      <c r="F191" s="242" t="str">
        <f aca="false">IFERROR(VLOOKUP($B191,'Institution Evaluation'!$A$55:$F$346,6,0),IFERROR(VLOOKUP($B191,'Privacy Analyst Evaluation'!$A$46:$F$120,6,0),""))&amp;""</f>
        <v/>
      </c>
      <c r="G191" s="243"/>
      <c r="H191" s="242" t="str">
        <f aca="false">IFERROR(IF($H190+1&gt;'(backend scoring)'!$Q$335,"",$H190+1),"")</f>
        <v/>
      </c>
      <c r="I191" s="242" t="str">
        <f aca="false">_xlfn.XLOOKUP($H191,'(backend scoring)'!$S$2:$S$333,'(backend scoring)'!$A$2:$A$333,"")</f>
        <v/>
      </c>
      <c r="J191" s="242" t="str">
        <f aca="false">IFERROR(VLOOKUP($I191,'Institution Evaluation'!$A$55:$F$346,2,0),IFERROR(VLOOKUP($I191,'Privacy Analyst Evaluation'!$A$46:$F$120,2,0),""))</f>
        <v/>
      </c>
      <c r="K191" s="242" t="str">
        <f aca="false">IFERROR(VLOOKUP($I191,'Institution Evaluation'!$A$55:$F$346,3,0),IFERROR(VLOOKUP($I191,'Privacy Analyst Evaluation'!$A$46:$F$120,3,0),""))&amp;""</f>
        <v/>
      </c>
      <c r="L191" s="242" t="str">
        <f aca="false">IFERROR(VLOOKUP($I191,'Institution Evaluation'!$A$55:$F$346,4,0),IFERROR(VLOOKUP($I191,'Privacy Analyst Evaluation'!$A$46:$F$120,4,0),""))&amp;""</f>
        <v/>
      </c>
      <c r="M191" s="242" t="str">
        <f aca="false">IFERROR(VLOOKUP($I191,'Institution Evaluation'!$A$55:$F$346,6,0),IFERROR(VLOOKUP($I191,'Privacy Analyst Evaluation'!$A$46:$F$120,6,0),""))&amp;""</f>
        <v/>
      </c>
    </row>
    <row r="192" customFormat="false" ht="15" hidden="false" customHeight="false" outlineLevel="0" collapsed="false">
      <c r="A192" s="242" t="str">
        <f aca="false">IFERROR(IF($A191+1&gt;'(backend scoring)'!$T$335,"",$A191+1),"")</f>
        <v/>
      </c>
      <c r="B192" s="242" t="str">
        <f aca="false">_xlfn.XLOOKUP($A192,'(backend scoring)'!$V$2:$V$333,'(backend scoring)'!$A$2:$A$333,"")</f>
        <v/>
      </c>
      <c r="C192" s="242" t="str">
        <f aca="false">IFERROR(VLOOKUP($B192,'Institution Evaluation'!$A$55:$F$346,2,0),IFERROR(VLOOKUP($B192,'Privacy Analyst Evaluation'!$A$46:$F$120,2,0),""))&amp;""</f>
        <v/>
      </c>
      <c r="D192" s="242" t="str">
        <f aca="false">IFERROR(VLOOKUP($B192,'Institution Evaluation'!$A$55:$F$346,3,0),IFERROR(VLOOKUP($B192,'Privacy Analyst Evaluation'!$A$46:$F$120,3,0),""))&amp;""</f>
        <v/>
      </c>
      <c r="E192" s="242" t="str">
        <f aca="false">IFERROR(VLOOKUP($B192,'Institution Evaluation'!$A$55:$F$346,4,0),IFERROR(VLOOKUP($B192,'Privacy Analyst Evaluation'!$A$46:$F$120,4,0),""))&amp;""</f>
        <v/>
      </c>
      <c r="F192" s="242" t="str">
        <f aca="false">IFERROR(VLOOKUP($B192,'Institution Evaluation'!$A$55:$F$346,6,0),IFERROR(VLOOKUP($B192,'Privacy Analyst Evaluation'!$A$46:$F$120,6,0),""))&amp;""</f>
        <v/>
      </c>
      <c r="G192" s="243"/>
      <c r="H192" s="242" t="str">
        <f aca="false">IFERROR(IF($H191+1&gt;'(backend scoring)'!$Q$335,"",$H191+1),"")</f>
        <v/>
      </c>
      <c r="I192" s="242" t="str">
        <f aca="false">_xlfn.XLOOKUP($H192,'(backend scoring)'!$S$2:$S$333,'(backend scoring)'!$A$2:$A$333,"")</f>
        <v/>
      </c>
      <c r="J192" s="242" t="str">
        <f aca="false">IFERROR(VLOOKUP($I192,'Institution Evaluation'!$A$55:$F$346,2,0),IFERROR(VLOOKUP($I192,'Privacy Analyst Evaluation'!$A$46:$F$120,2,0),""))</f>
        <v/>
      </c>
      <c r="K192" s="242" t="str">
        <f aca="false">IFERROR(VLOOKUP($I192,'Institution Evaluation'!$A$55:$F$346,3,0),IFERROR(VLOOKUP($I192,'Privacy Analyst Evaluation'!$A$46:$F$120,3,0),""))&amp;""</f>
        <v/>
      </c>
      <c r="L192" s="242" t="str">
        <f aca="false">IFERROR(VLOOKUP($I192,'Institution Evaluation'!$A$55:$F$346,4,0),IFERROR(VLOOKUP($I192,'Privacy Analyst Evaluation'!$A$46:$F$120,4,0),""))&amp;""</f>
        <v/>
      </c>
      <c r="M192" s="242" t="str">
        <f aca="false">IFERROR(VLOOKUP($I192,'Institution Evaluation'!$A$55:$F$346,6,0),IFERROR(VLOOKUP($I192,'Privacy Analyst Evaluation'!$A$46:$F$120,6,0),""))&amp;""</f>
        <v/>
      </c>
    </row>
    <row r="193" customFormat="false" ht="15" hidden="false" customHeight="false" outlineLevel="0" collapsed="false">
      <c r="A193" s="242" t="str">
        <f aca="false">IFERROR(IF($A192+1&gt;'(backend scoring)'!$T$335,"",$A192+1),"")</f>
        <v/>
      </c>
      <c r="B193" s="242" t="str">
        <f aca="false">_xlfn.XLOOKUP($A193,'(backend scoring)'!$V$2:$V$333,'(backend scoring)'!$A$2:$A$333,"")</f>
        <v/>
      </c>
      <c r="C193" s="242" t="str">
        <f aca="false">IFERROR(VLOOKUP($B193,'Institution Evaluation'!$A$55:$F$346,2,0),IFERROR(VLOOKUP($B193,'Privacy Analyst Evaluation'!$A$46:$F$120,2,0),""))&amp;""</f>
        <v/>
      </c>
      <c r="D193" s="242" t="str">
        <f aca="false">IFERROR(VLOOKUP($B193,'Institution Evaluation'!$A$55:$F$346,3,0),IFERROR(VLOOKUP($B193,'Privacy Analyst Evaluation'!$A$46:$F$120,3,0),""))&amp;""</f>
        <v/>
      </c>
      <c r="E193" s="242" t="str">
        <f aca="false">IFERROR(VLOOKUP($B193,'Institution Evaluation'!$A$55:$F$346,4,0),IFERROR(VLOOKUP($B193,'Privacy Analyst Evaluation'!$A$46:$F$120,4,0),""))&amp;""</f>
        <v/>
      </c>
      <c r="F193" s="242" t="str">
        <f aca="false">IFERROR(VLOOKUP($B193,'Institution Evaluation'!$A$55:$F$346,6,0),IFERROR(VLOOKUP($B193,'Privacy Analyst Evaluation'!$A$46:$F$120,6,0),""))&amp;""</f>
        <v/>
      </c>
      <c r="G193" s="243"/>
      <c r="H193" s="242" t="str">
        <f aca="false">IFERROR(IF($H192+1&gt;'(backend scoring)'!$Q$335,"",$H192+1),"")</f>
        <v/>
      </c>
      <c r="I193" s="242" t="str">
        <f aca="false">_xlfn.XLOOKUP($H193,'(backend scoring)'!$S$2:$S$333,'(backend scoring)'!$A$2:$A$333,"")</f>
        <v/>
      </c>
      <c r="J193" s="242" t="str">
        <f aca="false">IFERROR(VLOOKUP($I193,'Institution Evaluation'!$A$55:$F$346,2,0),IFERROR(VLOOKUP($I193,'Privacy Analyst Evaluation'!$A$46:$F$120,2,0),""))</f>
        <v/>
      </c>
      <c r="K193" s="242" t="str">
        <f aca="false">IFERROR(VLOOKUP($I193,'Institution Evaluation'!$A$55:$F$346,3,0),IFERROR(VLOOKUP($I193,'Privacy Analyst Evaluation'!$A$46:$F$120,3,0),""))&amp;""</f>
        <v/>
      </c>
      <c r="L193" s="242" t="str">
        <f aca="false">IFERROR(VLOOKUP($I193,'Institution Evaluation'!$A$55:$F$346,4,0),IFERROR(VLOOKUP($I193,'Privacy Analyst Evaluation'!$A$46:$F$120,4,0),""))&amp;""</f>
        <v/>
      </c>
      <c r="M193" s="242" t="str">
        <f aca="false">IFERROR(VLOOKUP($I193,'Institution Evaluation'!$A$55:$F$346,6,0),IFERROR(VLOOKUP($I193,'Privacy Analyst Evaluation'!$A$46:$F$120,6,0),""))&amp;""</f>
        <v/>
      </c>
    </row>
    <row r="194" customFormat="false" ht="15" hidden="false" customHeight="false" outlineLevel="0" collapsed="false">
      <c r="A194" s="242" t="str">
        <f aca="false">IFERROR(IF($A193+1&gt;'(backend scoring)'!$T$335,"",$A193+1),"")</f>
        <v/>
      </c>
      <c r="B194" s="242" t="str">
        <f aca="false">_xlfn.XLOOKUP($A194,'(backend scoring)'!$V$2:$V$333,'(backend scoring)'!$A$2:$A$333,"")</f>
        <v/>
      </c>
      <c r="C194" s="242" t="str">
        <f aca="false">IFERROR(VLOOKUP($B194,'Institution Evaluation'!$A$55:$F$346,2,0),IFERROR(VLOOKUP($B194,'Privacy Analyst Evaluation'!$A$46:$F$120,2,0),""))&amp;""</f>
        <v/>
      </c>
      <c r="D194" s="242" t="str">
        <f aca="false">IFERROR(VLOOKUP($B194,'Institution Evaluation'!$A$55:$F$346,3,0),IFERROR(VLOOKUP($B194,'Privacy Analyst Evaluation'!$A$46:$F$120,3,0),""))&amp;""</f>
        <v/>
      </c>
      <c r="E194" s="242" t="str">
        <f aca="false">IFERROR(VLOOKUP($B194,'Institution Evaluation'!$A$55:$F$346,4,0),IFERROR(VLOOKUP($B194,'Privacy Analyst Evaluation'!$A$46:$F$120,4,0),""))&amp;""</f>
        <v/>
      </c>
      <c r="F194" s="242" t="str">
        <f aca="false">IFERROR(VLOOKUP($B194,'Institution Evaluation'!$A$55:$F$346,6,0),IFERROR(VLOOKUP($B194,'Privacy Analyst Evaluation'!$A$46:$F$120,6,0),""))&amp;""</f>
        <v/>
      </c>
      <c r="G194" s="243"/>
      <c r="H194" s="242" t="str">
        <f aca="false">IFERROR(IF($H193+1&gt;'(backend scoring)'!$Q$335,"",$H193+1),"")</f>
        <v/>
      </c>
      <c r="I194" s="242" t="str">
        <f aca="false">_xlfn.XLOOKUP($H194,'(backend scoring)'!$S$2:$S$333,'(backend scoring)'!$A$2:$A$333,"")</f>
        <v/>
      </c>
      <c r="J194" s="242" t="str">
        <f aca="false">IFERROR(VLOOKUP($I194,'Institution Evaluation'!$A$55:$F$346,2,0),IFERROR(VLOOKUP($I194,'Privacy Analyst Evaluation'!$A$46:$F$120,2,0),""))</f>
        <v/>
      </c>
      <c r="K194" s="242" t="str">
        <f aca="false">IFERROR(VLOOKUP($I194,'Institution Evaluation'!$A$55:$F$346,3,0),IFERROR(VLOOKUP($I194,'Privacy Analyst Evaluation'!$A$46:$F$120,3,0),""))&amp;""</f>
        <v/>
      </c>
      <c r="L194" s="242" t="str">
        <f aca="false">IFERROR(VLOOKUP($I194,'Institution Evaluation'!$A$55:$F$346,4,0),IFERROR(VLOOKUP($I194,'Privacy Analyst Evaluation'!$A$46:$F$120,4,0),""))&amp;""</f>
        <v/>
      </c>
      <c r="M194" s="242" t="str">
        <f aca="false">IFERROR(VLOOKUP($I194,'Institution Evaluation'!$A$55:$F$346,6,0),IFERROR(VLOOKUP($I194,'Privacy Analyst Evaluation'!$A$46:$F$120,6,0),""))&amp;""</f>
        <v/>
      </c>
    </row>
    <row r="195" customFormat="false" ht="15" hidden="false" customHeight="false" outlineLevel="0" collapsed="false">
      <c r="A195" s="242" t="str">
        <f aca="false">IFERROR(IF($A194+1&gt;'(backend scoring)'!$T$335,"",$A194+1),"")</f>
        <v/>
      </c>
      <c r="B195" s="242" t="str">
        <f aca="false">_xlfn.XLOOKUP($A195,'(backend scoring)'!$V$2:$V$333,'(backend scoring)'!$A$2:$A$333,"")</f>
        <v/>
      </c>
      <c r="C195" s="242" t="str">
        <f aca="false">IFERROR(VLOOKUP($B195,'Institution Evaluation'!$A$55:$F$346,2,0),IFERROR(VLOOKUP($B195,'Privacy Analyst Evaluation'!$A$46:$F$120,2,0),""))&amp;""</f>
        <v/>
      </c>
      <c r="D195" s="242" t="str">
        <f aca="false">IFERROR(VLOOKUP($B195,'Institution Evaluation'!$A$55:$F$346,3,0),IFERROR(VLOOKUP($B195,'Privacy Analyst Evaluation'!$A$46:$F$120,3,0),""))&amp;""</f>
        <v/>
      </c>
      <c r="E195" s="242" t="str">
        <f aca="false">IFERROR(VLOOKUP($B195,'Institution Evaluation'!$A$55:$F$346,4,0),IFERROR(VLOOKUP($B195,'Privacy Analyst Evaluation'!$A$46:$F$120,4,0),""))&amp;""</f>
        <v/>
      </c>
      <c r="F195" s="242" t="str">
        <f aca="false">IFERROR(VLOOKUP($B195,'Institution Evaluation'!$A$55:$F$346,6,0),IFERROR(VLOOKUP($B195,'Privacy Analyst Evaluation'!$A$46:$F$120,6,0),""))&amp;""</f>
        <v/>
      </c>
      <c r="G195" s="243"/>
      <c r="H195" s="242" t="str">
        <f aca="false">IFERROR(IF($H194+1&gt;'(backend scoring)'!$Q$335,"",$H194+1),"")</f>
        <v/>
      </c>
      <c r="I195" s="242" t="str">
        <f aca="false">_xlfn.XLOOKUP($H195,'(backend scoring)'!$S$2:$S$333,'(backend scoring)'!$A$2:$A$333,"")</f>
        <v/>
      </c>
      <c r="J195" s="242" t="str">
        <f aca="false">IFERROR(VLOOKUP($I195,'Institution Evaluation'!$A$55:$F$346,2,0),IFERROR(VLOOKUP($I195,'Privacy Analyst Evaluation'!$A$46:$F$120,2,0),""))</f>
        <v/>
      </c>
      <c r="K195" s="242" t="str">
        <f aca="false">IFERROR(VLOOKUP($I195,'Institution Evaluation'!$A$55:$F$346,3,0),IFERROR(VLOOKUP($I195,'Privacy Analyst Evaluation'!$A$46:$F$120,3,0),""))&amp;""</f>
        <v/>
      </c>
      <c r="L195" s="242" t="str">
        <f aca="false">IFERROR(VLOOKUP($I195,'Institution Evaluation'!$A$55:$F$346,4,0),IFERROR(VLOOKUP($I195,'Privacy Analyst Evaluation'!$A$46:$F$120,4,0),""))&amp;""</f>
        <v/>
      </c>
      <c r="M195" s="242" t="str">
        <f aca="false">IFERROR(VLOOKUP($I195,'Institution Evaluation'!$A$55:$F$346,6,0),IFERROR(VLOOKUP($I195,'Privacy Analyst Evaluation'!$A$46:$F$120,6,0),""))&amp;""</f>
        <v/>
      </c>
    </row>
    <row r="196" customFormat="false" ht="15" hidden="false" customHeight="false" outlineLevel="0" collapsed="false">
      <c r="A196" s="242" t="str">
        <f aca="false">IFERROR(IF($A195+1&gt;'(backend scoring)'!$T$335,"",$A195+1),"")</f>
        <v/>
      </c>
      <c r="B196" s="242" t="str">
        <f aca="false">_xlfn.XLOOKUP($A196,'(backend scoring)'!$V$2:$V$333,'(backend scoring)'!$A$2:$A$333,"")</f>
        <v/>
      </c>
      <c r="C196" s="242" t="str">
        <f aca="false">IFERROR(VLOOKUP($B196,'Institution Evaluation'!$A$55:$F$346,2,0),IFERROR(VLOOKUP($B196,'Privacy Analyst Evaluation'!$A$46:$F$120,2,0),""))&amp;""</f>
        <v/>
      </c>
      <c r="D196" s="242" t="str">
        <f aca="false">IFERROR(VLOOKUP($B196,'Institution Evaluation'!$A$55:$F$346,3,0),IFERROR(VLOOKUP($B196,'Privacy Analyst Evaluation'!$A$46:$F$120,3,0),""))&amp;""</f>
        <v/>
      </c>
      <c r="E196" s="242" t="str">
        <f aca="false">IFERROR(VLOOKUP($B196,'Institution Evaluation'!$A$55:$F$346,4,0),IFERROR(VLOOKUP($B196,'Privacy Analyst Evaluation'!$A$46:$F$120,4,0),""))&amp;""</f>
        <v/>
      </c>
      <c r="F196" s="242" t="str">
        <f aca="false">IFERROR(VLOOKUP($B196,'Institution Evaluation'!$A$55:$F$346,6,0),IFERROR(VLOOKUP($B196,'Privacy Analyst Evaluation'!$A$46:$F$120,6,0),""))&amp;""</f>
        <v/>
      </c>
      <c r="G196" s="243"/>
      <c r="H196" s="242" t="str">
        <f aca="false">IFERROR(IF($H195+1&gt;'(backend scoring)'!$Q$335,"",$H195+1),"")</f>
        <v/>
      </c>
      <c r="I196" s="242" t="str">
        <f aca="false">_xlfn.XLOOKUP($H196,'(backend scoring)'!$S$2:$S$333,'(backend scoring)'!$A$2:$A$333,"")</f>
        <v/>
      </c>
      <c r="J196" s="242" t="str">
        <f aca="false">IFERROR(VLOOKUP($I196,'Institution Evaluation'!$A$55:$F$346,2,0),IFERROR(VLOOKUP($I196,'Privacy Analyst Evaluation'!$A$46:$F$120,2,0),""))</f>
        <v/>
      </c>
      <c r="K196" s="242" t="str">
        <f aca="false">IFERROR(VLOOKUP($I196,'Institution Evaluation'!$A$55:$F$346,3,0),IFERROR(VLOOKUP($I196,'Privacy Analyst Evaluation'!$A$46:$F$120,3,0),""))&amp;""</f>
        <v/>
      </c>
      <c r="L196" s="242" t="str">
        <f aca="false">IFERROR(VLOOKUP($I196,'Institution Evaluation'!$A$55:$F$346,4,0),IFERROR(VLOOKUP($I196,'Privacy Analyst Evaluation'!$A$46:$F$120,4,0),""))&amp;""</f>
        <v/>
      </c>
      <c r="M196" s="242" t="str">
        <f aca="false">IFERROR(VLOOKUP($I196,'Institution Evaluation'!$A$55:$F$346,6,0),IFERROR(VLOOKUP($I196,'Privacy Analyst Evaluation'!$A$46:$F$120,6,0),""))&amp;""</f>
        <v/>
      </c>
    </row>
    <row r="197" customFormat="false" ht="15" hidden="false" customHeight="false" outlineLevel="0" collapsed="false">
      <c r="A197" s="242" t="str">
        <f aca="false">IFERROR(IF($A196+1&gt;'(backend scoring)'!$T$335,"",$A196+1),"")</f>
        <v/>
      </c>
      <c r="B197" s="242" t="str">
        <f aca="false">_xlfn.XLOOKUP($A197,'(backend scoring)'!$V$2:$V$333,'(backend scoring)'!$A$2:$A$333,"")</f>
        <v/>
      </c>
      <c r="C197" s="242" t="str">
        <f aca="false">IFERROR(VLOOKUP($B197,'Institution Evaluation'!$A$55:$F$346,2,0),IFERROR(VLOOKUP($B197,'Privacy Analyst Evaluation'!$A$46:$F$120,2,0),""))&amp;""</f>
        <v/>
      </c>
      <c r="D197" s="242" t="str">
        <f aca="false">IFERROR(VLOOKUP($B197,'Institution Evaluation'!$A$55:$F$346,3,0),IFERROR(VLOOKUP($B197,'Privacy Analyst Evaluation'!$A$46:$F$120,3,0),""))&amp;""</f>
        <v/>
      </c>
      <c r="E197" s="242" t="str">
        <f aca="false">IFERROR(VLOOKUP($B197,'Institution Evaluation'!$A$55:$F$346,4,0),IFERROR(VLOOKUP($B197,'Privacy Analyst Evaluation'!$A$46:$F$120,4,0),""))&amp;""</f>
        <v/>
      </c>
      <c r="F197" s="242" t="str">
        <f aca="false">IFERROR(VLOOKUP($B197,'Institution Evaluation'!$A$55:$F$346,6,0),IFERROR(VLOOKUP($B197,'Privacy Analyst Evaluation'!$A$46:$F$120,6,0),""))&amp;""</f>
        <v/>
      </c>
      <c r="G197" s="243"/>
      <c r="H197" s="242" t="str">
        <f aca="false">IFERROR(IF($H196+1&gt;'(backend scoring)'!$Q$335,"",$H196+1),"")</f>
        <v/>
      </c>
      <c r="I197" s="242" t="str">
        <f aca="false">_xlfn.XLOOKUP($H197,'(backend scoring)'!$S$2:$S$333,'(backend scoring)'!$A$2:$A$333,"")</f>
        <v/>
      </c>
      <c r="J197" s="242" t="str">
        <f aca="false">IFERROR(VLOOKUP($I197,'Institution Evaluation'!$A$55:$F$346,2,0),IFERROR(VLOOKUP($I197,'Privacy Analyst Evaluation'!$A$46:$F$120,2,0),""))</f>
        <v/>
      </c>
      <c r="K197" s="242" t="str">
        <f aca="false">IFERROR(VLOOKUP($I197,'Institution Evaluation'!$A$55:$F$346,3,0),IFERROR(VLOOKUP($I197,'Privacy Analyst Evaluation'!$A$46:$F$120,3,0),""))&amp;""</f>
        <v/>
      </c>
      <c r="L197" s="242" t="str">
        <f aca="false">IFERROR(VLOOKUP($I197,'Institution Evaluation'!$A$55:$F$346,4,0),IFERROR(VLOOKUP($I197,'Privacy Analyst Evaluation'!$A$46:$F$120,4,0),""))&amp;""</f>
        <v/>
      </c>
      <c r="M197" s="242" t="str">
        <f aca="false">IFERROR(VLOOKUP($I197,'Institution Evaluation'!$A$55:$F$346,6,0),IFERROR(VLOOKUP($I197,'Privacy Analyst Evaluation'!$A$46:$F$120,6,0),""))&amp;""</f>
        <v/>
      </c>
    </row>
    <row r="198" customFormat="false" ht="15" hidden="false" customHeight="false" outlineLevel="0" collapsed="false">
      <c r="A198" s="242" t="str">
        <f aca="false">IFERROR(IF($A197+1&gt;'(backend scoring)'!$T$335,"",$A197+1),"")</f>
        <v/>
      </c>
      <c r="B198" s="242" t="str">
        <f aca="false">_xlfn.XLOOKUP($A198,'(backend scoring)'!$V$2:$V$333,'(backend scoring)'!$A$2:$A$333,"")</f>
        <v/>
      </c>
      <c r="C198" s="242" t="str">
        <f aca="false">IFERROR(VLOOKUP($B198,'Institution Evaluation'!$A$55:$F$346,2,0),IFERROR(VLOOKUP($B198,'Privacy Analyst Evaluation'!$A$46:$F$120,2,0),""))&amp;""</f>
        <v/>
      </c>
      <c r="D198" s="242" t="str">
        <f aca="false">IFERROR(VLOOKUP($B198,'Institution Evaluation'!$A$55:$F$346,3,0),IFERROR(VLOOKUP($B198,'Privacy Analyst Evaluation'!$A$46:$F$120,3,0),""))&amp;""</f>
        <v/>
      </c>
      <c r="E198" s="242" t="str">
        <f aca="false">IFERROR(VLOOKUP($B198,'Institution Evaluation'!$A$55:$F$346,4,0),IFERROR(VLOOKUP($B198,'Privacy Analyst Evaluation'!$A$46:$F$120,4,0),""))&amp;""</f>
        <v/>
      </c>
      <c r="F198" s="242" t="str">
        <f aca="false">IFERROR(VLOOKUP($B198,'Institution Evaluation'!$A$55:$F$346,6,0),IFERROR(VLOOKUP($B198,'Privacy Analyst Evaluation'!$A$46:$F$120,6,0),""))&amp;""</f>
        <v/>
      </c>
      <c r="G198" s="243"/>
      <c r="H198" s="242" t="str">
        <f aca="false">IFERROR(IF($H197+1&gt;'(backend scoring)'!$Q$335,"",$H197+1),"")</f>
        <v/>
      </c>
      <c r="I198" s="242" t="str">
        <f aca="false">_xlfn.XLOOKUP($H198,'(backend scoring)'!$S$2:$S$333,'(backend scoring)'!$A$2:$A$333,"")</f>
        <v/>
      </c>
      <c r="J198" s="242" t="str">
        <f aca="false">IFERROR(VLOOKUP($I198,'Institution Evaluation'!$A$55:$F$346,2,0),IFERROR(VLOOKUP($I198,'Privacy Analyst Evaluation'!$A$46:$F$120,2,0),""))</f>
        <v/>
      </c>
      <c r="K198" s="242" t="str">
        <f aca="false">IFERROR(VLOOKUP($I198,'Institution Evaluation'!$A$55:$F$346,3,0),IFERROR(VLOOKUP($I198,'Privacy Analyst Evaluation'!$A$46:$F$120,3,0),""))&amp;""</f>
        <v/>
      </c>
      <c r="L198" s="242" t="str">
        <f aca="false">IFERROR(VLOOKUP($I198,'Institution Evaluation'!$A$55:$F$346,4,0),IFERROR(VLOOKUP($I198,'Privacy Analyst Evaluation'!$A$46:$F$120,4,0),""))&amp;""</f>
        <v/>
      </c>
      <c r="M198" s="242" t="str">
        <f aca="false">IFERROR(VLOOKUP($I198,'Institution Evaluation'!$A$55:$F$346,6,0),IFERROR(VLOOKUP($I198,'Privacy Analyst Evaluation'!$A$46:$F$120,6,0),""))&amp;""</f>
        <v/>
      </c>
    </row>
    <row r="199" customFormat="false" ht="15" hidden="false" customHeight="false" outlineLevel="0" collapsed="false">
      <c r="A199" s="242" t="str">
        <f aca="false">IFERROR(IF($A198+1&gt;'(backend scoring)'!$T$335,"",$A198+1),"")</f>
        <v/>
      </c>
      <c r="B199" s="242" t="str">
        <f aca="false">_xlfn.XLOOKUP($A199,'(backend scoring)'!$V$2:$V$333,'(backend scoring)'!$A$2:$A$333,"")</f>
        <v/>
      </c>
      <c r="C199" s="242" t="str">
        <f aca="false">IFERROR(VLOOKUP($B199,'Institution Evaluation'!$A$55:$F$346,2,0),IFERROR(VLOOKUP($B199,'Privacy Analyst Evaluation'!$A$46:$F$120,2,0),""))&amp;""</f>
        <v/>
      </c>
      <c r="D199" s="242" t="str">
        <f aca="false">IFERROR(VLOOKUP($B199,'Institution Evaluation'!$A$55:$F$346,3,0),IFERROR(VLOOKUP($B199,'Privacy Analyst Evaluation'!$A$46:$F$120,3,0),""))&amp;""</f>
        <v/>
      </c>
      <c r="E199" s="242" t="str">
        <f aca="false">IFERROR(VLOOKUP($B199,'Institution Evaluation'!$A$55:$F$346,4,0),IFERROR(VLOOKUP($B199,'Privacy Analyst Evaluation'!$A$46:$F$120,4,0),""))&amp;""</f>
        <v/>
      </c>
      <c r="F199" s="242" t="str">
        <f aca="false">IFERROR(VLOOKUP($B199,'Institution Evaluation'!$A$55:$F$346,6,0),IFERROR(VLOOKUP($B199,'Privacy Analyst Evaluation'!$A$46:$F$120,6,0),""))&amp;""</f>
        <v/>
      </c>
      <c r="G199" s="243"/>
      <c r="H199" s="242" t="str">
        <f aca="false">IFERROR(IF($H198+1&gt;'(backend scoring)'!$Q$335,"",$H198+1),"")</f>
        <v/>
      </c>
      <c r="I199" s="242" t="str">
        <f aca="false">_xlfn.XLOOKUP($H199,'(backend scoring)'!$S$2:$S$333,'(backend scoring)'!$A$2:$A$333,"")</f>
        <v/>
      </c>
      <c r="J199" s="242" t="str">
        <f aca="false">IFERROR(VLOOKUP($I199,'Institution Evaluation'!$A$55:$F$346,2,0),IFERROR(VLOOKUP($I199,'Privacy Analyst Evaluation'!$A$46:$F$120,2,0),""))</f>
        <v/>
      </c>
      <c r="K199" s="242" t="str">
        <f aca="false">IFERROR(VLOOKUP($I199,'Institution Evaluation'!$A$55:$F$346,3,0),IFERROR(VLOOKUP($I199,'Privacy Analyst Evaluation'!$A$46:$F$120,3,0),""))&amp;""</f>
        <v/>
      </c>
      <c r="L199" s="242" t="str">
        <f aca="false">IFERROR(VLOOKUP($I199,'Institution Evaluation'!$A$55:$F$346,4,0),IFERROR(VLOOKUP($I199,'Privacy Analyst Evaluation'!$A$46:$F$120,4,0),""))&amp;""</f>
        <v/>
      </c>
      <c r="M199" s="242" t="str">
        <f aca="false">IFERROR(VLOOKUP($I199,'Institution Evaluation'!$A$55:$F$346,6,0),IFERROR(VLOOKUP($I199,'Privacy Analyst Evaluation'!$A$46:$F$120,6,0),""))&amp;""</f>
        <v/>
      </c>
    </row>
    <row r="200" customFormat="false" ht="15" hidden="false" customHeight="false" outlineLevel="0" collapsed="false">
      <c r="A200" s="242" t="str">
        <f aca="false">IFERROR(IF($A199+1&gt;'(backend scoring)'!$T$335,"",$A199+1),"")</f>
        <v/>
      </c>
      <c r="B200" s="242" t="str">
        <f aca="false">_xlfn.XLOOKUP($A200,'(backend scoring)'!$V$2:$V$333,'(backend scoring)'!$A$2:$A$333,"")</f>
        <v/>
      </c>
      <c r="C200" s="242" t="str">
        <f aca="false">IFERROR(VLOOKUP($B200,'Institution Evaluation'!$A$55:$F$346,2,0),IFERROR(VLOOKUP($B200,'Privacy Analyst Evaluation'!$A$46:$F$120,2,0),""))&amp;""</f>
        <v/>
      </c>
      <c r="D200" s="242" t="str">
        <f aca="false">IFERROR(VLOOKUP($B200,'Institution Evaluation'!$A$55:$F$346,3,0),IFERROR(VLOOKUP($B200,'Privacy Analyst Evaluation'!$A$46:$F$120,3,0),""))&amp;""</f>
        <v/>
      </c>
      <c r="E200" s="242" t="str">
        <f aca="false">IFERROR(VLOOKUP($B200,'Institution Evaluation'!$A$55:$F$346,4,0),IFERROR(VLOOKUP($B200,'Privacy Analyst Evaluation'!$A$46:$F$120,4,0),""))&amp;""</f>
        <v/>
      </c>
      <c r="F200" s="242" t="str">
        <f aca="false">IFERROR(VLOOKUP($B200,'Institution Evaluation'!$A$55:$F$346,6,0),IFERROR(VLOOKUP($B200,'Privacy Analyst Evaluation'!$A$46:$F$120,6,0),""))&amp;""</f>
        <v/>
      </c>
      <c r="G200" s="243"/>
      <c r="H200" s="242" t="str">
        <f aca="false">IFERROR(IF($H199+1&gt;'(backend scoring)'!$Q$335,"",$H199+1),"")</f>
        <v/>
      </c>
      <c r="I200" s="242" t="str">
        <f aca="false">_xlfn.XLOOKUP($H200,'(backend scoring)'!$S$2:$S$333,'(backend scoring)'!$A$2:$A$333,"")</f>
        <v/>
      </c>
      <c r="J200" s="242" t="str">
        <f aca="false">IFERROR(VLOOKUP($I200,'Institution Evaluation'!$A$55:$F$346,2,0),IFERROR(VLOOKUP($I200,'Privacy Analyst Evaluation'!$A$46:$F$120,2,0),""))</f>
        <v/>
      </c>
      <c r="K200" s="242" t="str">
        <f aca="false">IFERROR(VLOOKUP($I200,'Institution Evaluation'!$A$55:$F$346,3,0),IFERROR(VLOOKUP($I200,'Privacy Analyst Evaluation'!$A$46:$F$120,3,0),""))&amp;""</f>
        <v/>
      </c>
      <c r="L200" s="242" t="str">
        <f aca="false">IFERROR(VLOOKUP($I200,'Institution Evaluation'!$A$55:$F$346,4,0),IFERROR(VLOOKUP($I200,'Privacy Analyst Evaluation'!$A$46:$F$120,4,0),""))&amp;""</f>
        <v/>
      </c>
      <c r="M200" s="242" t="str">
        <f aca="false">IFERROR(VLOOKUP($I200,'Institution Evaluation'!$A$55:$F$346,6,0),IFERROR(VLOOKUP($I200,'Privacy Analyst Evaluation'!$A$46:$F$120,6,0),""))&amp;""</f>
        <v/>
      </c>
    </row>
    <row r="201" customFormat="false" ht="15" hidden="false" customHeight="false" outlineLevel="0" collapsed="false">
      <c r="A201" s="242" t="str">
        <f aca="false">IFERROR(IF($A200+1&gt;'(backend scoring)'!$T$335,"",$A200+1),"")</f>
        <v/>
      </c>
      <c r="B201" s="242" t="str">
        <f aca="false">_xlfn.XLOOKUP($A201,'(backend scoring)'!$V$2:$V$333,'(backend scoring)'!$A$2:$A$333,"")</f>
        <v/>
      </c>
      <c r="C201" s="242" t="str">
        <f aca="false">IFERROR(VLOOKUP($B201,'Institution Evaluation'!$A$55:$F$346,2,0),IFERROR(VLOOKUP($B201,'Privacy Analyst Evaluation'!$A$46:$F$120,2,0),""))&amp;""</f>
        <v/>
      </c>
      <c r="D201" s="242" t="str">
        <f aca="false">IFERROR(VLOOKUP($B201,'Institution Evaluation'!$A$55:$F$346,3,0),IFERROR(VLOOKUP($B201,'Privacy Analyst Evaluation'!$A$46:$F$120,3,0),""))&amp;""</f>
        <v/>
      </c>
      <c r="E201" s="242" t="str">
        <f aca="false">IFERROR(VLOOKUP($B201,'Institution Evaluation'!$A$55:$F$346,4,0),IFERROR(VLOOKUP($B201,'Privacy Analyst Evaluation'!$A$46:$F$120,4,0),""))&amp;""</f>
        <v/>
      </c>
      <c r="F201" s="242" t="str">
        <f aca="false">IFERROR(VLOOKUP($B201,'Institution Evaluation'!$A$55:$F$346,6,0),IFERROR(VLOOKUP($B201,'Privacy Analyst Evaluation'!$A$46:$F$120,6,0),""))&amp;""</f>
        <v/>
      </c>
      <c r="G201" s="243"/>
      <c r="H201" s="242" t="str">
        <f aca="false">IFERROR(IF($H200+1&gt;'(backend scoring)'!$Q$335,"",$H200+1),"")</f>
        <v/>
      </c>
      <c r="I201" s="242" t="str">
        <f aca="false">_xlfn.XLOOKUP($H201,'(backend scoring)'!$S$2:$S$333,'(backend scoring)'!$A$2:$A$333,"")</f>
        <v/>
      </c>
      <c r="J201" s="242" t="str">
        <f aca="false">IFERROR(VLOOKUP($I201,'Institution Evaluation'!$A$55:$F$346,2,0),IFERROR(VLOOKUP($I201,'Privacy Analyst Evaluation'!$A$46:$F$120,2,0),""))</f>
        <v/>
      </c>
      <c r="K201" s="242" t="str">
        <f aca="false">IFERROR(VLOOKUP($I201,'Institution Evaluation'!$A$55:$F$346,3,0),IFERROR(VLOOKUP($I201,'Privacy Analyst Evaluation'!$A$46:$F$120,3,0),""))&amp;""</f>
        <v/>
      </c>
      <c r="L201" s="242" t="str">
        <f aca="false">IFERROR(VLOOKUP($I201,'Institution Evaluation'!$A$55:$F$346,4,0),IFERROR(VLOOKUP($I201,'Privacy Analyst Evaluation'!$A$46:$F$120,4,0),""))&amp;""</f>
        <v/>
      </c>
      <c r="M201" s="242" t="str">
        <f aca="false">IFERROR(VLOOKUP($I201,'Institution Evaluation'!$A$55:$F$346,6,0),IFERROR(VLOOKUP($I201,'Privacy Analyst Evaluation'!$A$46:$F$120,6,0),""))&amp;""</f>
        <v/>
      </c>
    </row>
    <row r="202" customFormat="false" ht="15" hidden="false" customHeight="false" outlineLevel="0" collapsed="false">
      <c r="A202" s="242" t="str">
        <f aca="false">IFERROR(IF($A201+1&gt;'(backend scoring)'!$T$335,"",$A201+1),"")</f>
        <v/>
      </c>
      <c r="B202" s="242" t="str">
        <f aca="false">_xlfn.XLOOKUP($A202,'(backend scoring)'!$V$2:$V$333,'(backend scoring)'!$A$2:$A$333,"")</f>
        <v/>
      </c>
      <c r="C202" s="242" t="str">
        <f aca="false">IFERROR(VLOOKUP($B202,'Institution Evaluation'!$A$55:$F$346,2,0),IFERROR(VLOOKUP($B202,'Privacy Analyst Evaluation'!$A$46:$F$120,2,0),""))&amp;""</f>
        <v/>
      </c>
      <c r="D202" s="242" t="str">
        <f aca="false">IFERROR(VLOOKUP($B202,'Institution Evaluation'!$A$55:$F$346,3,0),IFERROR(VLOOKUP($B202,'Privacy Analyst Evaluation'!$A$46:$F$120,3,0),""))&amp;""</f>
        <v/>
      </c>
      <c r="E202" s="242" t="str">
        <f aca="false">IFERROR(VLOOKUP($B202,'Institution Evaluation'!$A$55:$F$346,4,0),IFERROR(VLOOKUP($B202,'Privacy Analyst Evaluation'!$A$46:$F$120,4,0),""))&amp;""</f>
        <v/>
      </c>
      <c r="F202" s="242" t="str">
        <f aca="false">IFERROR(VLOOKUP($B202,'Institution Evaluation'!$A$55:$F$346,6,0),IFERROR(VLOOKUP($B202,'Privacy Analyst Evaluation'!$A$46:$F$120,6,0),""))&amp;""</f>
        <v/>
      </c>
      <c r="G202" s="243"/>
      <c r="H202" s="242" t="str">
        <f aca="false">IFERROR(IF($H201+1&gt;'(backend scoring)'!$Q$335,"",$H201+1),"")</f>
        <v/>
      </c>
      <c r="I202" s="242" t="str">
        <f aca="false">_xlfn.XLOOKUP($H202,'(backend scoring)'!$S$2:$S$333,'(backend scoring)'!$A$2:$A$333,"")</f>
        <v/>
      </c>
      <c r="J202" s="242" t="str">
        <f aca="false">IFERROR(VLOOKUP($I202,'Institution Evaluation'!$A$55:$F$346,2,0),IFERROR(VLOOKUP($I202,'Privacy Analyst Evaluation'!$A$46:$F$120,2,0),""))</f>
        <v/>
      </c>
      <c r="K202" s="242" t="str">
        <f aca="false">IFERROR(VLOOKUP($I202,'Institution Evaluation'!$A$55:$F$346,3,0),IFERROR(VLOOKUP($I202,'Privacy Analyst Evaluation'!$A$46:$F$120,3,0),""))&amp;""</f>
        <v/>
      </c>
      <c r="L202" s="242" t="str">
        <f aca="false">IFERROR(VLOOKUP($I202,'Institution Evaluation'!$A$55:$F$346,4,0),IFERROR(VLOOKUP($I202,'Privacy Analyst Evaluation'!$A$46:$F$120,4,0),""))&amp;""</f>
        <v/>
      </c>
      <c r="M202" s="242" t="str">
        <f aca="false">IFERROR(VLOOKUP($I202,'Institution Evaluation'!$A$55:$F$346,6,0),IFERROR(VLOOKUP($I202,'Privacy Analyst Evaluation'!$A$46:$F$120,6,0),""))&amp;""</f>
        <v/>
      </c>
    </row>
    <row r="203" customFormat="false" ht="15" hidden="false" customHeight="false" outlineLevel="0" collapsed="false">
      <c r="A203" s="242" t="str">
        <f aca="false">IFERROR(IF($A202+1&gt;'(backend scoring)'!$T$335,"",$A202+1),"")</f>
        <v/>
      </c>
      <c r="B203" s="242" t="str">
        <f aca="false">_xlfn.XLOOKUP($A203,'(backend scoring)'!$V$2:$V$333,'(backend scoring)'!$A$2:$A$333,"")</f>
        <v/>
      </c>
      <c r="C203" s="242" t="str">
        <f aca="false">IFERROR(VLOOKUP($B203,'Institution Evaluation'!$A$55:$F$346,2,0),IFERROR(VLOOKUP($B203,'Privacy Analyst Evaluation'!$A$46:$F$120,2,0),""))&amp;""</f>
        <v/>
      </c>
      <c r="D203" s="242" t="str">
        <f aca="false">IFERROR(VLOOKUP($B203,'Institution Evaluation'!$A$55:$F$346,3,0),IFERROR(VLOOKUP($B203,'Privacy Analyst Evaluation'!$A$46:$F$120,3,0),""))&amp;""</f>
        <v/>
      </c>
      <c r="E203" s="242" t="str">
        <f aca="false">IFERROR(VLOOKUP($B203,'Institution Evaluation'!$A$55:$F$346,4,0),IFERROR(VLOOKUP($B203,'Privacy Analyst Evaluation'!$A$46:$F$120,4,0),""))&amp;""</f>
        <v/>
      </c>
      <c r="F203" s="242" t="str">
        <f aca="false">IFERROR(VLOOKUP($B203,'Institution Evaluation'!$A$55:$F$346,6,0),IFERROR(VLOOKUP($B203,'Privacy Analyst Evaluation'!$A$46:$F$120,6,0),""))&amp;""</f>
        <v/>
      </c>
      <c r="G203" s="243"/>
      <c r="H203" s="242" t="str">
        <f aca="false">IFERROR(IF($H202+1&gt;'(backend scoring)'!$Q$335,"",$H202+1),"")</f>
        <v/>
      </c>
      <c r="I203" s="242" t="str">
        <f aca="false">_xlfn.XLOOKUP($H203,'(backend scoring)'!$S$2:$S$333,'(backend scoring)'!$A$2:$A$333,"")</f>
        <v/>
      </c>
      <c r="J203" s="242" t="str">
        <f aca="false">IFERROR(VLOOKUP($I203,'Institution Evaluation'!$A$55:$F$346,2,0),IFERROR(VLOOKUP($I203,'Privacy Analyst Evaluation'!$A$46:$F$120,2,0),""))</f>
        <v/>
      </c>
      <c r="K203" s="242" t="str">
        <f aca="false">IFERROR(VLOOKUP($I203,'Institution Evaluation'!$A$55:$F$346,3,0),IFERROR(VLOOKUP($I203,'Privacy Analyst Evaluation'!$A$46:$F$120,3,0),""))&amp;""</f>
        <v/>
      </c>
      <c r="L203" s="242" t="str">
        <f aca="false">IFERROR(VLOOKUP($I203,'Institution Evaluation'!$A$55:$F$346,4,0),IFERROR(VLOOKUP($I203,'Privacy Analyst Evaluation'!$A$46:$F$120,4,0),""))&amp;""</f>
        <v/>
      </c>
      <c r="M203" s="242" t="str">
        <f aca="false">IFERROR(VLOOKUP($I203,'Institution Evaluation'!$A$55:$F$346,6,0),IFERROR(VLOOKUP($I203,'Privacy Analyst Evaluation'!$A$46:$F$120,6,0),""))&amp;""</f>
        <v/>
      </c>
    </row>
    <row r="204" customFormat="false" ht="15" hidden="false" customHeight="false" outlineLevel="0" collapsed="false">
      <c r="A204" s="242" t="str">
        <f aca="false">IFERROR(IF($A203+1&gt;'(backend scoring)'!$T$335,"",$A203+1),"")</f>
        <v/>
      </c>
      <c r="B204" s="242" t="str">
        <f aca="false">_xlfn.XLOOKUP($A204,'(backend scoring)'!$V$2:$V$333,'(backend scoring)'!$A$2:$A$333,"")</f>
        <v/>
      </c>
      <c r="C204" s="242" t="str">
        <f aca="false">IFERROR(VLOOKUP($B204,'Institution Evaluation'!$A$55:$F$346,2,0),IFERROR(VLOOKUP($B204,'Privacy Analyst Evaluation'!$A$46:$F$120,2,0),""))&amp;""</f>
        <v/>
      </c>
      <c r="D204" s="242" t="str">
        <f aca="false">IFERROR(VLOOKUP($B204,'Institution Evaluation'!$A$55:$F$346,3,0),IFERROR(VLOOKUP($B204,'Privacy Analyst Evaluation'!$A$46:$F$120,3,0),""))&amp;""</f>
        <v/>
      </c>
      <c r="E204" s="242" t="str">
        <f aca="false">IFERROR(VLOOKUP($B204,'Institution Evaluation'!$A$55:$F$346,4,0),IFERROR(VLOOKUP($B204,'Privacy Analyst Evaluation'!$A$46:$F$120,4,0),""))&amp;""</f>
        <v/>
      </c>
      <c r="F204" s="242" t="str">
        <f aca="false">IFERROR(VLOOKUP($B204,'Institution Evaluation'!$A$55:$F$346,6,0),IFERROR(VLOOKUP($B204,'Privacy Analyst Evaluation'!$A$46:$F$120,6,0),""))&amp;""</f>
        <v/>
      </c>
      <c r="G204" s="243"/>
      <c r="H204" s="242" t="str">
        <f aca="false">IFERROR(IF($H203+1&gt;'(backend scoring)'!$Q$335,"",$H203+1),"")</f>
        <v/>
      </c>
      <c r="I204" s="242" t="str">
        <f aca="false">_xlfn.XLOOKUP($H204,'(backend scoring)'!$S$2:$S$333,'(backend scoring)'!$A$2:$A$333,"")</f>
        <v/>
      </c>
      <c r="J204" s="242" t="str">
        <f aca="false">IFERROR(VLOOKUP($I204,'Institution Evaluation'!$A$55:$F$346,2,0),IFERROR(VLOOKUP($I204,'Privacy Analyst Evaluation'!$A$46:$F$120,2,0),""))</f>
        <v/>
      </c>
      <c r="K204" s="242" t="str">
        <f aca="false">IFERROR(VLOOKUP($I204,'Institution Evaluation'!$A$55:$F$346,3,0),IFERROR(VLOOKUP($I204,'Privacy Analyst Evaluation'!$A$46:$F$120,3,0),""))&amp;""</f>
        <v/>
      </c>
      <c r="L204" s="242" t="str">
        <f aca="false">IFERROR(VLOOKUP($I204,'Institution Evaluation'!$A$55:$F$346,4,0),IFERROR(VLOOKUP($I204,'Privacy Analyst Evaluation'!$A$46:$F$120,4,0),""))&amp;""</f>
        <v/>
      </c>
      <c r="M204" s="242" t="str">
        <f aca="false">IFERROR(VLOOKUP($I204,'Institution Evaluation'!$A$55:$F$346,6,0),IFERROR(VLOOKUP($I204,'Privacy Analyst Evaluation'!$A$46:$F$120,6,0),""))&amp;""</f>
        <v/>
      </c>
    </row>
    <row r="205" customFormat="false" ht="15" hidden="false" customHeight="false" outlineLevel="0" collapsed="false">
      <c r="A205" s="242" t="str">
        <f aca="false">IFERROR(IF($A204+1&gt;'(backend scoring)'!$T$335,"",$A204+1),"")</f>
        <v/>
      </c>
      <c r="B205" s="242" t="str">
        <f aca="false">_xlfn.XLOOKUP($A205,'(backend scoring)'!$V$2:$V$333,'(backend scoring)'!$A$2:$A$333,"")</f>
        <v/>
      </c>
      <c r="C205" s="242" t="str">
        <f aca="false">IFERROR(VLOOKUP($B205,'Institution Evaluation'!$A$55:$F$346,2,0),IFERROR(VLOOKUP($B205,'Privacy Analyst Evaluation'!$A$46:$F$120,2,0),""))&amp;""</f>
        <v/>
      </c>
      <c r="D205" s="242" t="str">
        <f aca="false">IFERROR(VLOOKUP($B205,'Institution Evaluation'!$A$55:$F$346,3,0),IFERROR(VLOOKUP($B205,'Privacy Analyst Evaluation'!$A$46:$F$120,3,0),""))&amp;""</f>
        <v/>
      </c>
      <c r="E205" s="242" t="str">
        <f aca="false">IFERROR(VLOOKUP($B205,'Institution Evaluation'!$A$55:$F$346,4,0),IFERROR(VLOOKUP($B205,'Privacy Analyst Evaluation'!$A$46:$F$120,4,0),""))&amp;""</f>
        <v/>
      </c>
      <c r="F205" s="242" t="str">
        <f aca="false">IFERROR(VLOOKUP($B205,'Institution Evaluation'!$A$55:$F$346,6,0),IFERROR(VLOOKUP($B205,'Privacy Analyst Evaluation'!$A$46:$F$120,6,0),""))&amp;""</f>
        <v/>
      </c>
      <c r="G205" s="243"/>
      <c r="H205" s="242" t="str">
        <f aca="false">IFERROR(IF($H204+1&gt;'(backend scoring)'!$Q$335,"",$H204+1),"")</f>
        <v/>
      </c>
      <c r="I205" s="242" t="str">
        <f aca="false">_xlfn.XLOOKUP($H205,'(backend scoring)'!$S$2:$S$333,'(backend scoring)'!$A$2:$A$333,"")</f>
        <v/>
      </c>
      <c r="J205" s="242" t="str">
        <f aca="false">IFERROR(VLOOKUP($I205,'Institution Evaluation'!$A$55:$F$346,2,0),IFERROR(VLOOKUP($I205,'Privacy Analyst Evaluation'!$A$46:$F$120,2,0),""))</f>
        <v/>
      </c>
      <c r="K205" s="242" t="str">
        <f aca="false">IFERROR(VLOOKUP($I205,'Institution Evaluation'!$A$55:$F$346,3,0),IFERROR(VLOOKUP($I205,'Privacy Analyst Evaluation'!$A$46:$F$120,3,0),""))&amp;""</f>
        <v/>
      </c>
      <c r="L205" s="242" t="str">
        <f aca="false">IFERROR(VLOOKUP($I205,'Institution Evaluation'!$A$55:$F$346,4,0),IFERROR(VLOOKUP($I205,'Privacy Analyst Evaluation'!$A$46:$F$120,4,0),""))&amp;""</f>
        <v/>
      </c>
      <c r="M205" s="242" t="str">
        <f aca="false">IFERROR(VLOOKUP($I205,'Institution Evaluation'!$A$55:$F$346,6,0),IFERROR(VLOOKUP($I205,'Privacy Analyst Evaluation'!$A$46:$F$120,6,0),""))&amp;""</f>
        <v/>
      </c>
    </row>
    <row r="206" customFormat="false" ht="15" hidden="false" customHeight="false" outlineLevel="0" collapsed="false">
      <c r="A206" s="242" t="str">
        <f aca="false">IFERROR(IF($A205+1&gt;'(backend scoring)'!$T$335,"",$A205+1),"")</f>
        <v/>
      </c>
      <c r="B206" s="242" t="str">
        <f aca="false">_xlfn.XLOOKUP($A206,'(backend scoring)'!$V$2:$V$333,'(backend scoring)'!$A$2:$A$333,"")</f>
        <v/>
      </c>
      <c r="C206" s="242" t="str">
        <f aca="false">IFERROR(VLOOKUP($B206,'Institution Evaluation'!$A$55:$F$346,2,0),IFERROR(VLOOKUP($B206,'Privacy Analyst Evaluation'!$A$46:$F$120,2,0),""))&amp;""</f>
        <v/>
      </c>
      <c r="D206" s="242" t="str">
        <f aca="false">IFERROR(VLOOKUP($B206,'Institution Evaluation'!$A$55:$F$346,3,0),IFERROR(VLOOKUP($B206,'Privacy Analyst Evaluation'!$A$46:$F$120,3,0),""))&amp;""</f>
        <v/>
      </c>
      <c r="E206" s="242" t="str">
        <f aca="false">IFERROR(VLOOKUP($B206,'Institution Evaluation'!$A$55:$F$346,4,0),IFERROR(VLOOKUP($B206,'Privacy Analyst Evaluation'!$A$46:$F$120,4,0),""))&amp;""</f>
        <v/>
      </c>
      <c r="F206" s="242" t="str">
        <f aca="false">IFERROR(VLOOKUP($B206,'Institution Evaluation'!$A$55:$F$346,6,0),IFERROR(VLOOKUP($B206,'Privacy Analyst Evaluation'!$A$46:$F$120,6,0),""))&amp;""</f>
        <v/>
      </c>
      <c r="G206" s="243"/>
      <c r="H206" s="242" t="str">
        <f aca="false">IFERROR(IF($H205+1&gt;'(backend scoring)'!$Q$335,"",$H205+1),"")</f>
        <v/>
      </c>
      <c r="I206" s="242" t="str">
        <f aca="false">_xlfn.XLOOKUP($H206,'(backend scoring)'!$S$2:$S$333,'(backend scoring)'!$A$2:$A$333,"")</f>
        <v/>
      </c>
      <c r="J206" s="242" t="str">
        <f aca="false">IFERROR(VLOOKUP($I206,'Institution Evaluation'!$A$55:$F$346,2,0),IFERROR(VLOOKUP($I206,'Privacy Analyst Evaluation'!$A$46:$F$120,2,0),""))</f>
        <v/>
      </c>
      <c r="K206" s="242" t="str">
        <f aca="false">IFERROR(VLOOKUP($I206,'Institution Evaluation'!$A$55:$F$346,3,0),IFERROR(VLOOKUP($I206,'Privacy Analyst Evaluation'!$A$46:$F$120,3,0),""))&amp;""</f>
        <v/>
      </c>
      <c r="L206" s="242" t="str">
        <f aca="false">IFERROR(VLOOKUP($I206,'Institution Evaluation'!$A$55:$F$346,4,0),IFERROR(VLOOKUP($I206,'Privacy Analyst Evaluation'!$A$46:$F$120,4,0),""))&amp;""</f>
        <v/>
      </c>
      <c r="M206" s="242" t="str">
        <f aca="false">IFERROR(VLOOKUP($I206,'Institution Evaluation'!$A$55:$F$346,6,0),IFERROR(VLOOKUP($I206,'Privacy Analyst Evaluation'!$A$46:$F$120,6,0),""))&amp;""</f>
        <v/>
      </c>
    </row>
    <row r="207" customFormat="false" ht="15" hidden="false" customHeight="false" outlineLevel="0" collapsed="false">
      <c r="A207" s="242" t="str">
        <f aca="false">IFERROR(IF($A206+1&gt;'(backend scoring)'!$T$335,"",$A206+1),"")</f>
        <v/>
      </c>
      <c r="B207" s="242" t="str">
        <f aca="false">_xlfn.XLOOKUP($A207,'(backend scoring)'!$V$2:$V$333,'(backend scoring)'!$A$2:$A$333,"")</f>
        <v/>
      </c>
      <c r="C207" s="242" t="str">
        <f aca="false">IFERROR(VLOOKUP($B207,'Institution Evaluation'!$A$55:$F$346,2,0),IFERROR(VLOOKUP($B207,'Privacy Analyst Evaluation'!$A$46:$F$120,2,0),""))&amp;""</f>
        <v/>
      </c>
      <c r="D207" s="242" t="str">
        <f aca="false">IFERROR(VLOOKUP($B207,'Institution Evaluation'!$A$55:$F$346,3,0),IFERROR(VLOOKUP($B207,'Privacy Analyst Evaluation'!$A$46:$F$120,3,0),""))&amp;""</f>
        <v/>
      </c>
      <c r="E207" s="242" t="str">
        <f aca="false">IFERROR(VLOOKUP($B207,'Institution Evaluation'!$A$55:$F$346,4,0),IFERROR(VLOOKUP($B207,'Privacy Analyst Evaluation'!$A$46:$F$120,4,0),""))&amp;""</f>
        <v/>
      </c>
      <c r="F207" s="242" t="str">
        <f aca="false">IFERROR(VLOOKUP($B207,'Institution Evaluation'!$A$55:$F$346,6,0),IFERROR(VLOOKUP($B207,'Privacy Analyst Evaluation'!$A$46:$F$120,6,0),""))&amp;""</f>
        <v/>
      </c>
      <c r="G207" s="243"/>
      <c r="H207" s="242" t="str">
        <f aca="false">IFERROR(IF($H206+1&gt;'(backend scoring)'!$Q$335,"",$H206+1),"")</f>
        <v/>
      </c>
      <c r="I207" s="242" t="str">
        <f aca="false">_xlfn.XLOOKUP($H207,'(backend scoring)'!$S$2:$S$333,'(backend scoring)'!$A$2:$A$333,"")</f>
        <v/>
      </c>
      <c r="J207" s="242" t="str">
        <f aca="false">IFERROR(VLOOKUP($I207,'Institution Evaluation'!$A$55:$F$346,2,0),IFERROR(VLOOKUP($I207,'Privacy Analyst Evaluation'!$A$46:$F$120,2,0),""))</f>
        <v/>
      </c>
      <c r="K207" s="242" t="str">
        <f aca="false">IFERROR(VLOOKUP($I207,'Institution Evaluation'!$A$55:$F$346,3,0),IFERROR(VLOOKUP($I207,'Privacy Analyst Evaluation'!$A$46:$F$120,3,0),""))&amp;""</f>
        <v/>
      </c>
      <c r="L207" s="242" t="str">
        <f aca="false">IFERROR(VLOOKUP($I207,'Institution Evaluation'!$A$55:$F$346,4,0),IFERROR(VLOOKUP($I207,'Privacy Analyst Evaluation'!$A$46:$F$120,4,0),""))&amp;""</f>
        <v/>
      </c>
      <c r="M207" s="242" t="str">
        <f aca="false">IFERROR(VLOOKUP($I207,'Institution Evaluation'!$A$55:$F$346,6,0),IFERROR(VLOOKUP($I207,'Privacy Analyst Evaluation'!$A$46:$F$120,6,0),""))&amp;""</f>
        <v/>
      </c>
    </row>
    <row r="208" customFormat="false" ht="15" hidden="false" customHeight="false" outlineLevel="0" collapsed="false">
      <c r="A208" s="242" t="str">
        <f aca="false">IFERROR(IF($A207+1&gt;'(backend scoring)'!$T$335,"",$A207+1),"")</f>
        <v/>
      </c>
      <c r="B208" s="242" t="str">
        <f aca="false">_xlfn.XLOOKUP($A208,'(backend scoring)'!$V$2:$V$333,'(backend scoring)'!$A$2:$A$333,"")</f>
        <v/>
      </c>
      <c r="C208" s="242" t="str">
        <f aca="false">IFERROR(VLOOKUP($B208,'Institution Evaluation'!$A$55:$F$346,2,0),IFERROR(VLOOKUP($B208,'Privacy Analyst Evaluation'!$A$46:$F$120,2,0),""))&amp;""</f>
        <v/>
      </c>
      <c r="D208" s="242" t="str">
        <f aca="false">IFERROR(VLOOKUP($B208,'Institution Evaluation'!$A$55:$F$346,3,0),IFERROR(VLOOKUP($B208,'Privacy Analyst Evaluation'!$A$46:$F$120,3,0),""))&amp;""</f>
        <v/>
      </c>
      <c r="E208" s="242" t="str">
        <f aca="false">IFERROR(VLOOKUP($B208,'Institution Evaluation'!$A$55:$F$346,4,0),IFERROR(VLOOKUP($B208,'Privacy Analyst Evaluation'!$A$46:$F$120,4,0),""))&amp;""</f>
        <v/>
      </c>
      <c r="F208" s="242" t="str">
        <f aca="false">IFERROR(VLOOKUP($B208,'Institution Evaluation'!$A$55:$F$346,6,0),IFERROR(VLOOKUP($B208,'Privacy Analyst Evaluation'!$A$46:$F$120,6,0),""))&amp;""</f>
        <v/>
      </c>
      <c r="G208" s="243"/>
      <c r="H208" s="242" t="str">
        <f aca="false">IFERROR(IF($H207+1&gt;'(backend scoring)'!$Q$335,"",$H207+1),"")</f>
        <v/>
      </c>
      <c r="I208" s="242" t="str">
        <f aca="false">_xlfn.XLOOKUP($H208,'(backend scoring)'!$S$2:$S$333,'(backend scoring)'!$A$2:$A$333,"")</f>
        <v/>
      </c>
      <c r="J208" s="242" t="str">
        <f aca="false">IFERROR(VLOOKUP($I208,'Institution Evaluation'!$A$55:$F$346,2,0),IFERROR(VLOOKUP($I208,'Privacy Analyst Evaluation'!$A$46:$F$120,2,0),""))</f>
        <v/>
      </c>
      <c r="K208" s="242" t="str">
        <f aca="false">IFERROR(VLOOKUP($I208,'Institution Evaluation'!$A$55:$F$346,3,0),IFERROR(VLOOKUP($I208,'Privacy Analyst Evaluation'!$A$46:$F$120,3,0),""))&amp;""</f>
        <v/>
      </c>
      <c r="L208" s="242" t="str">
        <f aca="false">IFERROR(VLOOKUP($I208,'Institution Evaluation'!$A$55:$F$346,4,0),IFERROR(VLOOKUP($I208,'Privacy Analyst Evaluation'!$A$46:$F$120,4,0),""))&amp;""</f>
        <v/>
      </c>
      <c r="M208" s="242" t="str">
        <f aca="false">IFERROR(VLOOKUP($I208,'Institution Evaluation'!$A$55:$F$346,6,0),IFERROR(VLOOKUP($I208,'Privacy Analyst Evaluation'!$A$46:$F$120,6,0),""))&amp;""</f>
        <v/>
      </c>
    </row>
    <row r="209" customFormat="false" ht="15" hidden="false" customHeight="false" outlineLevel="0" collapsed="false">
      <c r="A209" s="242" t="str">
        <f aca="false">IFERROR(IF($A208+1&gt;'(backend scoring)'!$T$335,"",$A208+1),"")</f>
        <v/>
      </c>
      <c r="B209" s="242" t="str">
        <f aca="false">_xlfn.XLOOKUP($A209,'(backend scoring)'!$V$2:$V$333,'(backend scoring)'!$A$2:$A$333,"")</f>
        <v/>
      </c>
      <c r="C209" s="242" t="str">
        <f aca="false">IFERROR(VLOOKUP($B209,'Institution Evaluation'!$A$55:$F$346,2,0),IFERROR(VLOOKUP($B209,'Privacy Analyst Evaluation'!$A$46:$F$120,2,0),""))&amp;""</f>
        <v/>
      </c>
      <c r="D209" s="242" t="str">
        <f aca="false">IFERROR(VLOOKUP($B209,'Institution Evaluation'!$A$55:$F$346,3,0),IFERROR(VLOOKUP($B209,'Privacy Analyst Evaluation'!$A$46:$F$120,3,0),""))&amp;""</f>
        <v/>
      </c>
      <c r="E209" s="242" t="str">
        <f aca="false">IFERROR(VLOOKUP($B209,'Institution Evaluation'!$A$55:$F$346,4,0),IFERROR(VLOOKUP($B209,'Privacy Analyst Evaluation'!$A$46:$F$120,4,0),""))&amp;""</f>
        <v/>
      </c>
      <c r="F209" s="242" t="str">
        <f aca="false">IFERROR(VLOOKUP($B209,'Institution Evaluation'!$A$55:$F$346,6,0),IFERROR(VLOOKUP($B209,'Privacy Analyst Evaluation'!$A$46:$F$120,6,0),""))&amp;""</f>
        <v/>
      </c>
      <c r="G209" s="243"/>
      <c r="H209" s="242" t="str">
        <f aca="false">IFERROR(IF($H208+1&gt;'(backend scoring)'!$Q$335,"",$H208+1),"")</f>
        <v/>
      </c>
      <c r="I209" s="242" t="str">
        <f aca="false">_xlfn.XLOOKUP($H209,'(backend scoring)'!$S$2:$S$333,'(backend scoring)'!$A$2:$A$333,"")</f>
        <v/>
      </c>
      <c r="J209" s="242" t="str">
        <f aca="false">IFERROR(VLOOKUP($I209,'Institution Evaluation'!$A$55:$F$346,2,0),IFERROR(VLOOKUP($I209,'Privacy Analyst Evaluation'!$A$46:$F$120,2,0),""))</f>
        <v/>
      </c>
      <c r="K209" s="242" t="str">
        <f aca="false">IFERROR(VLOOKUP($I209,'Institution Evaluation'!$A$55:$F$346,3,0),IFERROR(VLOOKUP($I209,'Privacy Analyst Evaluation'!$A$46:$F$120,3,0),""))&amp;""</f>
        <v/>
      </c>
      <c r="L209" s="242" t="str">
        <f aca="false">IFERROR(VLOOKUP($I209,'Institution Evaluation'!$A$55:$F$346,4,0),IFERROR(VLOOKUP($I209,'Privacy Analyst Evaluation'!$A$46:$F$120,4,0),""))&amp;""</f>
        <v/>
      </c>
      <c r="M209" s="242" t="str">
        <f aca="false">IFERROR(VLOOKUP($I209,'Institution Evaluation'!$A$55:$F$346,6,0),IFERROR(VLOOKUP($I209,'Privacy Analyst Evaluation'!$A$46:$F$120,6,0),""))&amp;""</f>
        <v/>
      </c>
    </row>
    <row r="210" customFormat="false" ht="15" hidden="false" customHeight="false" outlineLevel="0" collapsed="false">
      <c r="A210" s="242" t="str">
        <f aca="false">IFERROR(IF($A209+1&gt;'(backend scoring)'!$T$335,"",$A209+1),"")</f>
        <v/>
      </c>
      <c r="B210" s="242" t="str">
        <f aca="false">_xlfn.XLOOKUP($A210,'(backend scoring)'!$V$2:$V$333,'(backend scoring)'!$A$2:$A$333,"")</f>
        <v/>
      </c>
      <c r="C210" s="242" t="str">
        <f aca="false">IFERROR(VLOOKUP($B210,'Institution Evaluation'!$A$55:$F$346,2,0),IFERROR(VLOOKUP($B210,'Privacy Analyst Evaluation'!$A$46:$F$120,2,0),""))&amp;""</f>
        <v/>
      </c>
      <c r="D210" s="242" t="str">
        <f aca="false">IFERROR(VLOOKUP($B210,'Institution Evaluation'!$A$55:$F$346,3,0),IFERROR(VLOOKUP($B210,'Privacy Analyst Evaluation'!$A$46:$F$120,3,0),""))&amp;""</f>
        <v/>
      </c>
      <c r="E210" s="242" t="str">
        <f aca="false">IFERROR(VLOOKUP($B210,'Institution Evaluation'!$A$55:$F$346,4,0),IFERROR(VLOOKUP($B210,'Privacy Analyst Evaluation'!$A$46:$F$120,4,0),""))&amp;""</f>
        <v/>
      </c>
      <c r="F210" s="242" t="str">
        <f aca="false">IFERROR(VLOOKUP($B210,'Institution Evaluation'!$A$55:$F$346,6,0),IFERROR(VLOOKUP($B210,'Privacy Analyst Evaluation'!$A$46:$F$120,6,0),""))&amp;""</f>
        <v/>
      </c>
      <c r="G210" s="243"/>
      <c r="H210" s="242" t="str">
        <f aca="false">IFERROR(IF($H209+1&gt;'(backend scoring)'!$Q$335,"",$H209+1),"")</f>
        <v/>
      </c>
      <c r="I210" s="242" t="str">
        <f aca="false">_xlfn.XLOOKUP($H210,'(backend scoring)'!$S$2:$S$333,'(backend scoring)'!$A$2:$A$333,"")</f>
        <v/>
      </c>
      <c r="J210" s="242" t="str">
        <f aca="false">IFERROR(VLOOKUP($I210,'Institution Evaluation'!$A$55:$F$346,2,0),IFERROR(VLOOKUP($I210,'Privacy Analyst Evaluation'!$A$46:$F$120,2,0),""))</f>
        <v/>
      </c>
      <c r="K210" s="242" t="str">
        <f aca="false">IFERROR(VLOOKUP($I210,'Institution Evaluation'!$A$55:$F$346,3,0),IFERROR(VLOOKUP($I210,'Privacy Analyst Evaluation'!$A$46:$F$120,3,0),""))&amp;""</f>
        <v/>
      </c>
      <c r="L210" s="242" t="str">
        <f aca="false">IFERROR(VLOOKUP($I210,'Institution Evaluation'!$A$55:$F$346,4,0),IFERROR(VLOOKUP($I210,'Privacy Analyst Evaluation'!$A$46:$F$120,4,0),""))&amp;""</f>
        <v/>
      </c>
      <c r="M210" s="242" t="str">
        <f aca="false">IFERROR(VLOOKUP($I210,'Institution Evaluation'!$A$55:$F$346,6,0),IFERROR(VLOOKUP($I210,'Privacy Analyst Evaluation'!$A$46:$F$120,6,0),""))&amp;""</f>
        <v/>
      </c>
    </row>
    <row r="211" customFormat="false" ht="15" hidden="false" customHeight="false" outlineLevel="0" collapsed="false">
      <c r="A211" s="242" t="str">
        <f aca="false">IFERROR(IF($A210+1&gt;'(backend scoring)'!$T$335,"",$A210+1),"")</f>
        <v/>
      </c>
      <c r="B211" s="242" t="str">
        <f aca="false">_xlfn.XLOOKUP($A211,'(backend scoring)'!$V$2:$V$333,'(backend scoring)'!$A$2:$A$333,"")</f>
        <v/>
      </c>
      <c r="C211" s="242" t="str">
        <f aca="false">IFERROR(VLOOKUP($B211,'Institution Evaluation'!$A$55:$F$346,2,0),IFERROR(VLOOKUP($B211,'Privacy Analyst Evaluation'!$A$46:$F$120,2,0),""))&amp;""</f>
        <v/>
      </c>
      <c r="D211" s="242" t="str">
        <f aca="false">IFERROR(VLOOKUP($B211,'Institution Evaluation'!$A$55:$F$346,3,0),IFERROR(VLOOKUP($B211,'Privacy Analyst Evaluation'!$A$46:$F$120,3,0),""))&amp;""</f>
        <v/>
      </c>
      <c r="E211" s="242" t="str">
        <f aca="false">IFERROR(VLOOKUP($B211,'Institution Evaluation'!$A$55:$F$346,4,0),IFERROR(VLOOKUP($B211,'Privacy Analyst Evaluation'!$A$46:$F$120,4,0),""))&amp;""</f>
        <v/>
      </c>
      <c r="F211" s="242" t="str">
        <f aca="false">IFERROR(VLOOKUP($B211,'Institution Evaluation'!$A$55:$F$346,6,0),IFERROR(VLOOKUP($B211,'Privacy Analyst Evaluation'!$A$46:$F$120,6,0),""))&amp;""</f>
        <v/>
      </c>
      <c r="G211" s="243"/>
      <c r="H211" s="242" t="str">
        <f aca="false">IFERROR(IF($H210+1&gt;'(backend scoring)'!$Q$335,"",$H210+1),"")</f>
        <v/>
      </c>
      <c r="I211" s="242" t="str">
        <f aca="false">_xlfn.XLOOKUP($H211,'(backend scoring)'!$S$2:$S$333,'(backend scoring)'!$A$2:$A$333,"")</f>
        <v/>
      </c>
      <c r="J211" s="242" t="str">
        <f aca="false">IFERROR(VLOOKUP($I211,'Institution Evaluation'!$A$55:$F$346,2,0),IFERROR(VLOOKUP($I211,'Privacy Analyst Evaluation'!$A$46:$F$120,2,0),""))</f>
        <v/>
      </c>
      <c r="K211" s="242" t="str">
        <f aca="false">IFERROR(VLOOKUP($I211,'Institution Evaluation'!$A$55:$F$346,3,0),IFERROR(VLOOKUP($I211,'Privacy Analyst Evaluation'!$A$46:$F$120,3,0),""))&amp;""</f>
        <v/>
      </c>
      <c r="L211" s="242" t="str">
        <f aca="false">IFERROR(VLOOKUP($I211,'Institution Evaluation'!$A$55:$F$346,4,0),IFERROR(VLOOKUP($I211,'Privacy Analyst Evaluation'!$A$46:$F$120,4,0),""))&amp;""</f>
        <v/>
      </c>
      <c r="M211" s="242" t="str">
        <f aca="false">IFERROR(VLOOKUP($I211,'Institution Evaluation'!$A$55:$F$346,6,0),IFERROR(VLOOKUP($I211,'Privacy Analyst Evaluation'!$A$46:$F$120,6,0),""))&amp;""</f>
        <v/>
      </c>
    </row>
    <row r="212" customFormat="false" ht="15" hidden="false" customHeight="false" outlineLevel="0" collapsed="false">
      <c r="A212" s="242" t="str">
        <f aca="false">IFERROR(IF($A211+1&gt;'(backend scoring)'!$T$335,"",$A211+1),"")</f>
        <v/>
      </c>
      <c r="B212" s="242" t="str">
        <f aca="false">_xlfn.XLOOKUP($A212,'(backend scoring)'!$V$2:$V$333,'(backend scoring)'!$A$2:$A$333,"")</f>
        <v/>
      </c>
      <c r="C212" s="242" t="str">
        <f aca="false">IFERROR(VLOOKUP($B212,'Institution Evaluation'!$A$55:$F$346,2,0),IFERROR(VLOOKUP($B212,'Privacy Analyst Evaluation'!$A$46:$F$120,2,0),""))&amp;""</f>
        <v/>
      </c>
      <c r="D212" s="242" t="str">
        <f aca="false">IFERROR(VLOOKUP($B212,'Institution Evaluation'!$A$55:$F$346,3,0),IFERROR(VLOOKUP($B212,'Privacy Analyst Evaluation'!$A$46:$F$120,3,0),""))&amp;""</f>
        <v/>
      </c>
      <c r="E212" s="242" t="str">
        <f aca="false">IFERROR(VLOOKUP($B212,'Institution Evaluation'!$A$55:$F$346,4,0),IFERROR(VLOOKUP($B212,'Privacy Analyst Evaluation'!$A$46:$F$120,4,0),""))&amp;""</f>
        <v/>
      </c>
      <c r="F212" s="242" t="str">
        <f aca="false">IFERROR(VLOOKUP($B212,'Institution Evaluation'!$A$55:$F$346,6,0),IFERROR(VLOOKUP($B212,'Privacy Analyst Evaluation'!$A$46:$F$120,6,0),""))&amp;""</f>
        <v/>
      </c>
      <c r="G212" s="243"/>
      <c r="H212" s="242" t="str">
        <f aca="false">IFERROR(IF($H211+1&gt;'(backend scoring)'!$Q$335,"",$H211+1),"")</f>
        <v/>
      </c>
      <c r="I212" s="242" t="str">
        <f aca="false">_xlfn.XLOOKUP($H212,'(backend scoring)'!$S$2:$S$333,'(backend scoring)'!$A$2:$A$333,"")</f>
        <v/>
      </c>
      <c r="J212" s="242" t="str">
        <f aca="false">IFERROR(VLOOKUP($I212,'Institution Evaluation'!$A$55:$F$346,2,0),IFERROR(VLOOKUP($I212,'Privacy Analyst Evaluation'!$A$46:$F$120,2,0),""))</f>
        <v/>
      </c>
      <c r="K212" s="242" t="str">
        <f aca="false">IFERROR(VLOOKUP($I212,'Institution Evaluation'!$A$55:$F$346,3,0),IFERROR(VLOOKUP($I212,'Privacy Analyst Evaluation'!$A$46:$F$120,3,0),""))&amp;""</f>
        <v/>
      </c>
      <c r="L212" s="242" t="str">
        <f aca="false">IFERROR(VLOOKUP($I212,'Institution Evaluation'!$A$55:$F$346,4,0),IFERROR(VLOOKUP($I212,'Privacy Analyst Evaluation'!$A$46:$F$120,4,0),""))&amp;""</f>
        <v/>
      </c>
      <c r="M212" s="242" t="str">
        <f aca="false">IFERROR(VLOOKUP($I212,'Institution Evaluation'!$A$55:$F$346,6,0),IFERROR(VLOOKUP($I212,'Privacy Analyst Evaluation'!$A$46:$F$120,6,0),""))&amp;""</f>
        <v/>
      </c>
    </row>
    <row r="213" customFormat="false" ht="15" hidden="false" customHeight="false" outlineLevel="0" collapsed="false">
      <c r="A213" s="242" t="str">
        <f aca="false">IFERROR(IF($A212+1&gt;'(backend scoring)'!$T$335,"",$A212+1),"")</f>
        <v/>
      </c>
      <c r="B213" s="242" t="str">
        <f aca="false">_xlfn.XLOOKUP($A213,'(backend scoring)'!$V$2:$V$333,'(backend scoring)'!$A$2:$A$333,"")</f>
        <v/>
      </c>
      <c r="C213" s="242" t="str">
        <f aca="false">IFERROR(VLOOKUP($B213,'Institution Evaluation'!$A$55:$F$346,2,0),IFERROR(VLOOKUP($B213,'Privacy Analyst Evaluation'!$A$46:$F$120,2,0),""))&amp;""</f>
        <v/>
      </c>
      <c r="D213" s="242" t="str">
        <f aca="false">IFERROR(VLOOKUP($B213,'Institution Evaluation'!$A$55:$F$346,3,0),IFERROR(VLOOKUP($B213,'Privacy Analyst Evaluation'!$A$46:$F$120,3,0),""))&amp;""</f>
        <v/>
      </c>
      <c r="E213" s="242" t="str">
        <f aca="false">IFERROR(VLOOKUP($B213,'Institution Evaluation'!$A$55:$F$346,4,0),IFERROR(VLOOKUP($B213,'Privacy Analyst Evaluation'!$A$46:$F$120,4,0),""))&amp;""</f>
        <v/>
      </c>
      <c r="F213" s="242" t="str">
        <f aca="false">IFERROR(VLOOKUP($B213,'Institution Evaluation'!$A$55:$F$346,6,0),IFERROR(VLOOKUP($B213,'Privacy Analyst Evaluation'!$A$46:$F$120,6,0),""))&amp;""</f>
        <v/>
      </c>
      <c r="G213" s="243"/>
      <c r="H213" s="242" t="str">
        <f aca="false">IFERROR(IF($H212+1&gt;'(backend scoring)'!$Q$335,"",$H212+1),"")</f>
        <v/>
      </c>
      <c r="I213" s="242" t="str">
        <f aca="false">_xlfn.XLOOKUP($H213,'(backend scoring)'!$S$2:$S$333,'(backend scoring)'!$A$2:$A$333,"")</f>
        <v/>
      </c>
      <c r="J213" s="242" t="str">
        <f aca="false">IFERROR(VLOOKUP($I213,'Institution Evaluation'!$A$55:$F$346,2,0),IFERROR(VLOOKUP($I213,'Privacy Analyst Evaluation'!$A$46:$F$120,2,0),""))</f>
        <v/>
      </c>
      <c r="K213" s="242" t="str">
        <f aca="false">IFERROR(VLOOKUP($I213,'Institution Evaluation'!$A$55:$F$346,3,0),IFERROR(VLOOKUP($I213,'Privacy Analyst Evaluation'!$A$46:$F$120,3,0),""))&amp;""</f>
        <v/>
      </c>
      <c r="L213" s="242" t="str">
        <f aca="false">IFERROR(VLOOKUP($I213,'Institution Evaluation'!$A$55:$F$346,4,0),IFERROR(VLOOKUP($I213,'Privacy Analyst Evaluation'!$A$46:$F$120,4,0),""))&amp;""</f>
        <v/>
      </c>
      <c r="M213" s="242" t="str">
        <f aca="false">IFERROR(VLOOKUP($I213,'Institution Evaluation'!$A$55:$F$346,6,0),IFERROR(VLOOKUP($I213,'Privacy Analyst Evaluation'!$A$46:$F$120,6,0),""))&amp;""</f>
        <v/>
      </c>
    </row>
    <row r="214" customFormat="false" ht="15" hidden="false" customHeight="false" outlineLevel="0" collapsed="false">
      <c r="A214" s="242" t="str">
        <f aca="false">IFERROR(IF($A213+1&gt;'(backend scoring)'!$T$335,"",$A213+1),"")</f>
        <v/>
      </c>
      <c r="B214" s="242" t="str">
        <f aca="false">_xlfn.XLOOKUP($A214,'(backend scoring)'!$V$2:$V$333,'(backend scoring)'!$A$2:$A$333,"")</f>
        <v/>
      </c>
      <c r="C214" s="242" t="str">
        <f aca="false">IFERROR(VLOOKUP($B214,'Institution Evaluation'!$A$55:$F$346,2,0),IFERROR(VLOOKUP($B214,'Privacy Analyst Evaluation'!$A$46:$F$120,2,0),""))&amp;""</f>
        <v/>
      </c>
      <c r="D214" s="242" t="str">
        <f aca="false">IFERROR(VLOOKUP($B214,'Institution Evaluation'!$A$55:$F$346,3,0),IFERROR(VLOOKUP($B214,'Privacy Analyst Evaluation'!$A$46:$F$120,3,0),""))&amp;""</f>
        <v/>
      </c>
      <c r="E214" s="242" t="str">
        <f aca="false">IFERROR(VLOOKUP($B214,'Institution Evaluation'!$A$55:$F$346,4,0),IFERROR(VLOOKUP($B214,'Privacy Analyst Evaluation'!$A$46:$F$120,4,0),""))&amp;""</f>
        <v/>
      </c>
      <c r="F214" s="242" t="str">
        <f aca="false">IFERROR(VLOOKUP($B214,'Institution Evaluation'!$A$55:$F$346,6,0),IFERROR(VLOOKUP($B214,'Privacy Analyst Evaluation'!$A$46:$F$120,6,0),""))&amp;""</f>
        <v/>
      </c>
      <c r="G214" s="243"/>
      <c r="H214" s="242" t="str">
        <f aca="false">IFERROR(IF($H213+1&gt;'(backend scoring)'!$Q$335,"",$H213+1),"")</f>
        <v/>
      </c>
      <c r="I214" s="242" t="str">
        <f aca="false">_xlfn.XLOOKUP($H214,'(backend scoring)'!$S$2:$S$333,'(backend scoring)'!$A$2:$A$333,"")</f>
        <v/>
      </c>
      <c r="J214" s="242" t="str">
        <f aca="false">IFERROR(VLOOKUP($I214,'Institution Evaluation'!$A$55:$F$346,2,0),IFERROR(VLOOKUP($I214,'Privacy Analyst Evaluation'!$A$46:$F$120,2,0),""))</f>
        <v/>
      </c>
      <c r="K214" s="242" t="str">
        <f aca="false">IFERROR(VLOOKUP($I214,'Institution Evaluation'!$A$55:$F$346,3,0),IFERROR(VLOOKUP($I214,'Privacy Analyst Evaluation'!$A$46:$F$120,3,0),""))&amp;""</f>
        <v/>
      </c>
      <c r="L214" s="242" t="str">
        <f aca="false">IFERROR(VLOOKUP($I214,'Institution Evaluation'!$A$55:$F$346,4,0),IFERROR(VLOOKUP($I214,'Privacy Analyst Evaluation'!$A$46:$F$120,4,0),""))&amp;""</f>
        <v/>
      </c>
      <c r="M214" s="242" t="str">
        <f aca="false">IFERROR(VLOOKUP($I214,'Institution Evaluation'!$A$55:$F$346,6,0),IFERROR(VLOOKUP($I214,'Privacy Analyst Evaluation'!$A$46:$F$120,6,0),""))&amp;""</f>
        <v/>
      </c>
    </row>
    <row r="215" customFormat="false" ht="15" hidden="false" customHeight="false" outlineLevel="0" collapsed="false">
      <c r="A215" s="242" t="str">
        <f aca="false">IFERROR(IF($A214+1&gt;'(backend scoring)'!$T$335,"",$A214+1),"")</f>
        <v/>
      </c>
      <c r="B215" s="242" t="str">
        <f aca="false">_xlfn.XLOOKUP($A215,'(backend scoring)'!$V$2:$V$333,'(backend scoring)'!$A$2:$A$333,"")</f>
        <v/>
      </c>
      <c r="C215" s="242" t="str">
        <f aca="false">IFERROR(VLOOKUP($B215,'Institution Evaluation'!$A$55:$F$346,2,0),IFERROR(VLOOKUP($B215,'Privacy Analyst Evaluation'!$A$46:$F$120,2,0),""))&amp;""</f>
        <v/>
      </c>
      <c r="D215" s="242" t="str">
        <f aca="false">IFERROR(VLOOKUP($B215,'Institution Evaluation'!$A$55:$F$346,3,0),IFERROR(VLOOKUP($B215,'Privacy Analyst Evaluation'!$A$46:$F$120,3,0),""))&amp;""</f>
        <v/>
      </c>
      <c r="E215" s="242" t="str">
        <f aca="false">IFERROR(VLOOKUP($B215,'Institution Evaluation'!$A$55:$F$346,4,0),IFERROR(VLOOKUP($B215,'Privacy Analyst Evaluation'!$A$46:$F$120,4,0),""))&amp;""</f>
        <v/>
      </c>
      <c r="F215" s="242" t="str">
        <f aca="false">IFERROR(VLOOKUP($B215,'Institution Evaluation'!$A$55:$F$346,6,0),IFERROR(VLOOKUP($B215,'Privacy Analyst Evaluation'!$A$46:$F$120,6,0),""))&amp;""</f>
        <v/>
      </c>
      <c r="G215" s="243"/>
      <c r="H215" s="242" t="str">
        <f aca="false">IFERROR(IF($H214+1&gt;'(backend scoring)'!$Q$335,"",$H214+1),"")</f>
        <v/>
      </c>
      <c r="I215" s="242" t="str">
        <f aca="false">_xlfn.XLOOKUP($H215,'(backend scoring)'!$S$2:$S$333,'(backend scoring)'!$A$2:$A$333,"")</f>
        <v/>
      </c>
      <c r="J215" s="242" t="str">
        <f aca="false">IFERROR(VLOOKUP($I215,'Institution Evaluation'!$A$55:$F$346,2,0),IFERROR(VLOOKUP($I215,'Privacy Analyst Evaluation'!$A$46:$F$120,2,0),""))</f>
        <v/>
      </c>
      <c r="K215" s="242" t="str">
        <f aca="false">IFERROR(VLOOKUP($I215,'Institution Evaluation'!$A$55:$F$346,3,0),IFERROR(VLOOKUP($I215,'Privacy Analyst Evaluation'!$A$46:$F$120,3,0),""))&amp;""</f>
        <v/>
      </c>
      <c r="L215" s="242" t="str">
        <f aca="false">IFERROR(VLOOKUP($I215,'Institution Evaluation'!$A$55:$F$346,4,0),IFERROR(VLOOKUP($I215,'Privacy Analyst Evaluation'!$A$46:$F$120,4,0),""))&amp;""</f>
        <v/>
      </c>
      <c r="M215" s="242" t="str">
        <f aca="false">IFERROR(VLOOKUP($I215,'Institution Evaluation'!$A$55:$F$346,6,0),IFERROR(VLOOKUP($I215,'Privacy Analyst Evaluation'!$A$46:$F$120,6,0),""))&amp;""</f>
        <v/>
      </c>
    </row>
    <row r="216" customFormat="false" ht="15" hidden="false" customHeight="false" outlineLevel="0" collapsed="false">
      <c r="A216" s="242" t="str">
        <f aca="false">IFERROR(IF($A215+1&gt;'(backend scoring)'!$T$335,"",$A215+1),"")</f>
        <v/>
      </c>
      <c r="B216" s="242" t="str">
        <f aca="false">_xlfn.XLOOKUP($A216,'(backend scoring)'!$V$2:$V$333,'(backend scoring)'!$A$2:$A$333,"")</f>
        <v/>
      </c>
      <c r="C216" s="242" t="str">
        <f aca="false">IFERROR(VLOOKUP($B216,'Institution Evaluation'!$A$55:$F$346,2,0),IFERROR(VLOOKUP($B216,'Privacy Analyst Evaluation'!$A$46:$F$120,2,0),""))&amp;""</f>
        <v/>
      </c>
      <c r="D216" s="242" t="str">
        <f aca="false">IFERROR(VLOOKUP($B216,'Institution Evaluation'!$A$55:$F$346,3,0),IFERROR(VLOOKUP($B216,'Privacy Analyst Evaluation'!$A$46:$F$120,3,0),""))&amp;""</f>
        <v/>
      </c>
      <c r="E216" s="242" t="str">
        <f aca="false">IFERROR(VLOOKUP($B216,'Institution Evaluation'!$A$55:$F$346,4,0),IFERROR(VLOOKUP($B216,'Privacy Analyst Evaluation'!$A$46:$F$120,4,0),""))&amp;""</f>
        <v/>
      </c>
      <c r="F216" s="242" t="str">
        <f aca="false">IFERROR(VLOOKUP($B216,'Institution Evaluation'!$A$55:$F$346,6,0),IFERROR(VLOOKUP($B216,'Privacy Analyst Evaluation'!$A$46:$F$120,6,0),""))&amp;""</f>
        <v/>
      </c>
      <c r="G216" s="243"/>
      <c r="H216" s="242" t="str">
        <f aca="false">IFERROR(IF($H215+1&gt;'(backend scoring)'!$Q$335,"",$H215+1),"")</f>
        <v/>
      </c>
      <c r="I216" s="242" t="str">
        <f aca="false">_xlfn.XLOOKUP($H216,'(backend scoring)'!$S$2:$S$333,'(backend scoring)'!$A$2:$A$333,"")</f>
        <v/>
      </c>
      <c r="J216" s="242" t="str">
        <f aca="false">IFERROR(VLOOKUP($I216,'Institution Evaluation'!$A$55:$F$346,2,0),IFERROR(VLOOKUP($I216,'Privacy Analyst Evaluation'!$A$46:$F$120,2,0),""))</f>
        <v/>
      </c>
      <c r="K216" s="242" t="str">
        <f aca="false">IFERROR(VLOOKUP($I216,'Institution Evaluation'!$A$55:$F$346,3,0),IFERROR(VLOOKUP($I216,'Privacy Analyst Evaluation'!$A$46:$F$120,3,0),""))&amp;""</f>
        <v/>
      </c>
      <c r="L216" s="242" t="str">
        <f aca="false">IFERROR(VLOOKUP($I216,'Institution Evaluation'!$A$55:$F$346,4,0),IFERROR(VLOOKUP($I216,'Privacy Analyst Evaluation'!$A$46:$F$120,4,0),""))&amp;""</f>
        <v/>
      </c>
      <c r="M216" s="242" t="str">
        <f aca="false">IFERROR(VLOOKUP($I216,'Institution Evaluation'!$A$55:$F$346,6,0),IFERROR(VLOOKUP($I216,'Privacy Analyst Evaluation'!$A$46:$F$120,6,0),""))&amp;""</f>
        <v/>
      </c>
    </row>
    <row r="217" customFormat="false" ht="15" hidden="false" customHeight="false" outlineLevel="0" collapsed="false">
      <c r="A217" s="242" t="str">
        <f aca="false">IFERROR(IF($A216+1&gt;'(backend scoring)'!$T$335,"",$A216+1),"")</f>
        <v/>
      </c>
      <c r="B217" s="242" t="str">
        <f aca="false">_xlfn.XLOOKUP($A217,'(backend scoring)'!$V$2:$V$333,'(backend scoring)'!$A$2:$A$333,"")</f>
        <v/>
      </c>
      <c r="C217" s="242" t="str">
        <f aca="false">IFERROR(VLOOKUP($B217,'Institution Evaluation'!$A$55:$F$346,2,0),IFERROR(VLOOKUP($B217,'Privacy Analyst Evaluation'!$A$46:$F$120,2,0),""))&amp;""</f>
        <v/>
      </c>
      <c r="D217" s="242" t="str">
        <f aca="false">IFERROR(VLOOKUP($B217,'Institution Evaluation'!$A$55:$F$346,3,0),IFERROR(VLOOKUP($B217,'Privacy Analyst Evaluation'!$A$46:$F$120,3,0),""))&amp;""</f>
        <v/>
      </c>
      <c r="E217" s="242" t="str">
        <f aca="false">IFERROR(VLOOKUP($B217,'Institution Evaluation'!$A$55:$F$346,4,0),IFERROR(VLOOKUP($B217,'Privacy Analyst Evaluation'!$A$46:$F$120,4,0),""))&amp;""</f>
        <v/>
      </c>
      <c r="F217" s="242" t="str">
        <f aca="false">IFERROR(VLOOKUP($B217,'Institution Evaluation'!$A$55:$F$346,6,0),IFERROR(VLOOKUP($B217,'Privacy Analyst Evaluation'!$A$46:$F$120,6,0),""))&amp;""</f>
        <v/>
      </c>
      <c r="G217" s="243"/>
      <c r="H217" s="242" t="str">
        <f aca="false">IFERROR(IF($H216+1&gt;'(backend scoring)'!$Q$335,"",$H216+1),"")</f>
        <v/>
      </c>
      <c r="I217" s="242" t="str">
        <f aca="false">_xlfn.XLOOKUP($H217,'(backend scoring)'!$S$2:$S$333,'(backend scoring)'!$A$2:$A$333,"")</f>
        <v/>
      </c>
      <c r="J217" s="242" t="str">
        <f aca="false">IFERROR(VLOOKUP($I217,'Institution Evaluation'!$A$55:$F$346,2,0),IFERROR(VLOOKUP($I217,'Privacy Analyst Evaluation'!$A$46:$F$120,2,0),""))</f>
        <v/>
      </c>
      <c r="K217" s="242" t="str">
        <f aca="false">IFERROR(VLOOKUP($I217,'Institution Evaluation'!$A$55:$F$346,3,0),IFERROR(VLOOKUP($I217,'Privacy Analyst Evaluation'!$A$46:$F$120,3,0),""))&amp;""</f>
        <v/>
      </c>
      <c r="L217" s="242" t="str">
        <f aca="false">IFERROR(VLOOKUP($I217,'Institution Evaluation'!$A$55:$F$346,4,0),IFERROR(VLOOKUP($I217,'Privacy Analyst Evaluation'!$A$46:$F$120,4,0),""))&amp;""</f>
        <v/>
      </c>
      <c r="M217" s="242" t="str">
        <f aca="false">IFERROR(VLOOKUP($I217,'Institution Evaluation'!$A$55:$F$346,6,0),IFERROR(VLOOKUP($I217,'Privacy Analyst Evaluation'!$A$46:$F$120,6,0),""))&amp;""</f>
        <v/>
      </c>
    </row>
    <row r="218" customFormat="false" ht="15" hidden="false" customHeight="false" outlineLevel="0" collapsed="false">
      <c r="A218" s="242" t="str">
        <f aca="false">IFERROR(IF($A217+1&gt;'(backend scoring)'!$T$335,"",$A217+1),"")</f>
        <v/>
      </c>
      <c r="B218" s="242" t="str">
        <f aca="false">_xlfn.XLOOKUP($A218,'(backend scoring)'!$V$2:$V$333,'(backend scoring)'!$A$2:$A$333,"")</f>
        <v/>
      </c>
      <c r="C218" s="242" t="str">
        <f aca="false">IFERROR(VLOOKUP($B218,'Institution Evaluation'!$A$55:$F$346,2,0),IFERROR(VLOOKUP($B218,'Privacy Analyst Evaluation'!$A$46:$F$120,2,0),""))&amp;""</f>
        <v/>
      </c>
      <c r="D218" s="242" t="str">
        <f aca="false">IFERROR(VLOOKUP($B218,'Institution Evaluation'!$A$55:$F$346,3,0),IFERROR(VLOOKUP($B218,'Privacy Analyst Evaluation'!$A$46:$F$120,3,0),""))&amp;""</f>
        <v/>
      </c>
      <c r="E218" s="242" t="str">
        <f aca="false">IFERROR(VLOOKUP($B218,'Institution Evaluation'!$A$55:$F$346,4,0),IFERROR(VLOOKUP($B218,'Privacy Analyst Evaluation'!$A$46:$F$120,4,0),""))&amp;""</f>
        <v/>
      </c>
      <c r="F218" s="242" t="str">
        <f aca="false">IFERROR(VLOOKUP($B218,'Institution Evaluation'!$A$55:$F$346,6,0),IFERROR(VLOOKUP($B218,'Privacy Analyst Evaluation'!$A$46:$F$120,6,0),""))&amp;""</f>
        <v/>
      </c>
      <c r="G218" s="243"/>
      <c r="H218" s="242" t="str">
        <f aca="false">IFERROR(IF($H217+1&gt;'(backend scoring)'!$Q$335,"",$H217+1),"")</f>
        <v/>
      </c>
      <c r="I218" s="242" t="str">
        <f aca="false">_xlfn.XLOOKUP($H218,'(backend scoring)'!$S$2:$S$333,'(backend scoring)'!$A$2:$A$333,"")</f>
        <v/>
      </c>
      <c r="J218" s="242" t="str">
        <f aca="false">IFERROR(VLOOKUP($I218,'Institution Evaluation'!$A$55:$F$346,2,0),IFERROR(VLOOKUP($I218,'Privacy Analyst Evaluation'!$A$46:$F$120,2,0),""))</f>
        <v/>
      </c>
      <c r="K218" s="242" t="str">
        <f aca="false">IFERROR(VLOOKUP($I218,'Institution Evaluation'!$A$55:$F$346,3,0),IFERROR(VLOOKUP($I218,'Privacy Analyst Evaluation'!$A$46:$F$120,3,0),""))&amp;""</f>
        <v/>
      </c>
      <c r="L218" s="242" t="str">
        <f aca="false">IFERROR(VLOOKUP($I218,'Institution Evaluation'!$A$55:$F$346,4,0),IFERROR(VLOOKUP($I218,'Privacy Analyst Evaluation'!$A$46:$F$120,4,0),""))&amp;""</f>
        <v/>
      </c>
      <c r="M218" s="242" t="str">
        <f aca="false">IFERROR(VLOOKUP($I218,'Institution Evaluation'!$A$55:$F$346,6,0),IFERROR(VLOOKUP($I218,'Privacy Analyst Evaluation'!$A$46:$F$120,6,0),""))&amp;""</f>
        <v/>
      </c>
    </row>
    <row r="219" customFormat="false" ht="15" hidden="false" customHeight="false" outlineLevel="0" collapsed="false">
      <c r="A219" s="242" t="str">
        <f aca="false">IFERROR(IF($A218+1&gt;'(backend scoring)'!$T$335,"",$A218+1),"")</f>
        <v/>
      </c>
      <c r="B219" s="242" t="str">
        <f aca="false">_xlfn.XLOOKUP($A219,'(backend scoring)'!$V$2:$V$333,'(backend scoring)'!$A$2:$A$333,"")</f>
        <v/>
      </c>
      <c r="C219" s="242" t="str">
        <f aca="false">IFERROR(VLOOKUP($B219,'Institution Evaluation'!$A$55:$F$346,2,0),IFERROR(VLOOKUP($B219,'Privacy Analyst Evaluation'!$A$46:$F$120,2,0),""))&amp;""</f>
        <v/>
      </c>
      <c r="D219" s="242" t="str">
        <f aca="false">IFERROR(VLOOKUP($B219,'Institution Evaluation'!$A$55:$F$346,3,0),IFERROR(VLOOKUP($B219,'Privacy Analyst Evaluation'!$A$46:$F$120,3,0),""))&amp;""</f>
        <v/>
      </c>
      <c r="E219" s="242" t="str">
        <f aca="false">IFERROR(VLOOKUP($B219,'Institution Evaluation'!$A$55:$F$346,4,0),IFERROR(VLOOKUP($B219,'Privacy Analyst Evaluation'!$A$46:$F$120,4,0),""))&amp;""</f>
        <v/>
      </c>
      <c r="F219" s="242" t="str">
        <f aca="false">IFERROR(VLOOKUP($B219,'Institution Evaluation'!$A$55:$F$346,6,0),IFERROR(VLOOKUP($B219,'Privacy Analyst Evaluation'!$A$46:$F$120,6,0),""))&amp;""</f>
        <v/>
      </c>
      <c r="G219" s="243"/>
      <c r="H219" s="242" t="str">
        <f aca="false">IFERROR(IF($H218+1&gt;'(backend scoring)'!$Q$335,"",$H218+1),"")</f>
        <v/>
      </c>
      <c r="I219" s="242" t="str">
        <f aca="false">_xlfn.XLOOKUP($H219,'(backend scoring)'!$S$2:$S$333,'(backend scoring)'!$A$2:$A$333,"")</f>
        <v/>
      </c>
      <c r="J219" s="242" t="str">
        <f aca="false">IFERROR(VLOOKUP($I219,'Institution Evaluation'!$A$55:$F$346,2,0),IFERROR(VLOOKUP($I219,'Privacy Analyst Evaluation'!$A$46:$F$120,2,0),""))</f>
        <v/>
      </c>
      <c r="K219" s="242" t="str">
        <f aca="false">IFERROR(VLOOKUP($I219,'Institution Evaluation'!$A$55:$F$346,3,0),IFERROR(VLOOKUP($I219,'Privacy Analyst Evaluation'!$A$46:$F$120,3,0),""))&amp;""</f>
        <v/>
      </c>
      <c r="L219" s="242" t="str">
        <f aca="false">IFERROR(VLOOKUP($I219,'Institution Evaluation'!$A$55:$F$346,4,0),IFERROR(VLOOKUP($I219,'Privacy Analyst Evaluation'!$A$46:$F$120,4,0),""))&amp;""</f>
        <v/>
      </c>
      <c r="M219" s="242" t="str">
        <f aca="false">IFERROR(VLOOKUP($I219,'Institution Evaluation'!$A$55:$F$346,6,0),IFERROR(VLOOKUP($I219,'Privacy Analyst Evaluation'!$A$46:$F$120,6,0),""))&amp;""</f>
        <v/>
      </c>
    </row>
    <row r="220" customFormat="false" ht="15" hidden="false" customHeight="false" outlineLevel="0" collapsed="false">
      <c r="A220" s="242" t="str">
        <f aca="false">IFERROR(IF($A219+1&gt;'(backend scoring)'!$T$335,"",$A219+1),"")</f>
        <v/>
      </c>
      <c r="B220" s="242" t="str">
        <f aca="false">_xlfn.XLOOKUP($A220,'(backend scoring)'!$V$2:$V$333,'(backend scoring)'!$A$2:$A$333,"")</f>
        <v/>
      </c>
      <c r="C220" s="242" t="str">
        <f aca="false">IFERROR(VLOOKUP($B220,'Institution Evaluation'!$A$55:$F$346,2,0),IFERROR(VLOOKUP($B220,'Privacy Analyst Evaluation'!$A$46:$F$120,2,0),""))&amp;""</f>
        <v/>
      </c>
      <c r="D220" s="242" t="str">
        <f aca="false">IFERROR(VLOOKUP($B220,'Institution Evaluation'!$A$55:$F$346,3,0),IFERROR(VLOOKUP($B220,'Privacy Analyst Evaluation'!$A$46:$F$120,3,0),""))&amp;""</f>
        <v/>
      </c>
      <c r="E220" s="242" t="str">
        <f aca="false">IFERROR(VLOOKUP($B220,'Institution Evaluation'!$A$55:$F$346,4,0),IFERROR(VLOOKUP($B220,'Privacy Analyst Evaluation'!$A$46:$F$120,4,0),""))&amp;""</f>
        <v/>
      </c>
      <c r="F220" s="242" t="str">
        <f aca="false">IFERROR(VLOOKUP($B220,'Institution Evaluation'!$A$55:$F$346,6,0),IFERROR(VLOOKUP($B220,'Privacy Analyst Evaluation'!$A$46:$F$120,6,0),""))&amp;""</f>
        <v/>
      </c>
      <c r="G220" s="243"/>
      <c r="H220" s="242" t="str">
        <f aca="false">IFERROR(IF($H219+1&gt;'(backend scoring)'!$Q$335,"",$H219+1),"")</f>
        <v/>
      </c>
      <c r="I220" s="242" t="str">
        <f aca="false">_xlfn.XLOOKUP($H220,'(backend scoring)'!$S$2:$S$333,'(backend scoring)'!$A$2:$A$333,"")</f>
        <v/>
      </c>
      <c r="J220" s="242" t="str">
        <f aca="false">IFERROR(VLOOKUP($I220,'Institution Evaluation'!$A$55:$F$346,2,0),IFERROR(VLOOKUP($I220,'Privacy Analyst Evaluation'!$A$46:$F$120,2,0),""))</f>
        <v/>
      </c>
      <c r="K220" s="242" t="str">
        <f aca="false">IFERROR(VLOOKUP($I220,'Institution Evaluation'!$A$55:$F$346,3,0),IFERROR(VLOOKUP($I220,'Privacy Analyst Evaluation'!$A$46:$F$120,3,0),""))&amp;""</f>
        <v/>
      </c>
      <c r="L220" s="242" t="str">
        <f aca="false">IFERROR(VLOOKUP($I220,'Institution Evaluation'!$A$55:$F$346,4,0),IFERROR(VLOOKUP($I220,'Privacy Analyst Evaluation'!$A$46:$F$120,4,0),""))&amp;""</f>
        <v/>
      </c>
      <c r="M220" s="242" t="str">
        <f aca="false">IFERROR(VLOOKUP($I220,'Institution Evaluation'!$A$55:$F$346,6,0),IFERROR(VLOOKUP($I220,'Privacy Analyst Evaluation'!$A$46:$F$120,6,0),""))&amp;""</f>
        <v/>
      </c>
    </row>
    <row r="221" customFormat="false" ht="15" hidden="false" customHeight="false" outlineLevel="0" collapsed="false">
      <c r="A221" s="242" t="str">
        <f aca="false">IFERROR(IF($A220+1&gt;'(backend scoring)'!$T$335,"",$A220+1),"")</f>
        <v/>
      </c>
      <c r="B221" s="242" t="str">
        <f aca="false">_xlfn.XLOOKUP($A221,'(backend scoring)'!$V$2:$V$333,'(backend scoring)'!$A$2:$A$333,"")</f>
        <v/>
      </c>
      <c r="C221" s="242" t="str">
        <f aca="false">IFERROR(VLOOKUP($B221,'Institution Evaluation'!$A$55:$F$346,2,0),IFERROR(VLOOKUP($B221,'Privacy Analyst Evaluation'!$A$46:$F$120,2,0),""))&amp;""</f>
        <v/>
      </c>
      <c r="D221" s="242" t="str">
        <f aca="false">IFERROR(VLOOKUP($B221,'Institution Evaluation'!$A$55:$F$346,3,0),IFERROR(VLOOKUP($B221,'Privacy Analyst Evaluation'!$A$46:$F$120,3,0),""))&amp;""</f>
        <v/>
      </c>
      <c r="E221" s="242" t="str">
        <f aca="false">IFERROR(VLOOKUP($B221,'Institution Evaluation'!$A$55:$F$346,4,0),IFERROR(VLOOKUP($B221,'Privacy Analyst Evaluation'!$A$46:$F$120,4,0),""))&amp;""</f>
        <v/>
      </c>
      <c r="F221" s="242" t="str">
        <f aca="false">IFERROR(VLOOKUP($B221,'Institution Evaluation'!$A$55:$F$346,6,0),IFERROR(VLOOKUP($B221,'Privacy Analyst Evaluation'!$A$46:$F$120,6,0),""))&amp;""</f>
        <v/>
      </c>
      <c r="G221" s="243"/>
      <c r="H221" s="242" t="str">
        <f aca="false">IFERROR(IF($H220+1&gt;'(backend scoring)'!$Q$335,"",$H220+1),"")</f>
        <v/>
      </c>
      <c r="I221" s="242" t="str">
        <f aca="false">_xlfn.XLOOKUP($H221,'(backend scoring)'!$S$2:$S$333,'(backend scoring)'!$A$2:$A$333,"")</f>
        <v/>
      </c>
      <c r="J221" s="242" t="str">
        <f aca="false">IFERROR(VLOOKUP($I221,'Institution Evaluation'!$A$55:$F$346,2,0),IFERROR(VLOOKUP($I221,'Privacy Analyst Evaluation'!$A$46:$F$120,2,0),""))</f>
        <v/>
      </c>
      <c r="K221" s="242" t="str">
        <f aca="false">IFERROR(VLOOKUP($I221,'Institution Evaluation'!$A$55:$F$346,3,0),IFERROR(VLOOKUP($I221,'Privacy Analyst Evaluation'!$A$46:$F$120,3,0),""))&amp;""</f>
        <v/>
      </c>
      <c r="L221" s="242" t="str">
        <f aca="false">IFERROR(VLOOKUP($I221,'Institution Evaluation'!$A$55:$F$346,4,0),IFERROR(VLOOKUP($I221,'Privacy Analyst Evaluation'!$A$46:$F$120,4,0),""))&amp;""</f>
        <v/>
      </c>
      <c r="M221" s="242" t="str">
        <f aca="false">IFERROR(VLOOKUP($I221,'Institution Evaluation'!$A$55:$F$346,6,0),IFERROR(VLOOKUP($I221,'Privacy Analyst Evaluation'!$A$46:$F$120,6,0),""))&amp;""</f>
        <v/>
      </c>
    </row>
    <row r="222" customFormat="false" ht="15" hidden="false" customHeight="false" outlineLevel="0" collapsed="false">
      <c r="A222" s="242" t="str">
        <f aca="false">IFERROR(IF($A221+1&gt;'(backend scoring)'!$T$335,"",$A221+1),"")</f>
        <v/>
      </c>
      <c r="B222" s="242" t="str">
        <f aca="false">_xlfn.XLOOKUP($A222,'(backend scoring)'!$V$2:$V$333,'(backend scoring)'!$A$2:$A$333,"")</f>
        <v/>
      </c>
      <c r="C222" s="242" t="str">
        <f aca="false">IFERROR(VLOOKUP($B222,'Institution Evaluation'!$A$55:$F$346,2,0),IFERROR(VLOOKUP($B222,'Privacy Analyst Evaluation'!$A$46:$F$120,2,0),""))&amp;""</f>
        <v/>
      </c>
      <c r="D222" s="242" t="str">
        <f aca="false">IFERROR(VLOOKUP($B222,'Institution Evaluation'!$A$55:$F$346,3,0),IFERROR(VLOOKUP($B222,'Privacy Analyst Evaluation'!$A$46:$F$120,3,0),""))&amp;""</f>
        <v/>
      </c>
      <c r="E222" s="242" t="str">
        <f aca="false">IFERROR(VLOOKUP($B222,'Institution Evaluation'!$A$55:$F$346,4,0),IFERROR(VLOOKUP($B222,'Privacy Analyst Evaluation'!$A$46:$F$120,4,0),""))&amp;""</f>
        <v/>
      </c>
      <c r="F222" s="242" t="str">
        <f aca="false">IFERROR(VLOOKUP($B222,'Institution Evaluation'!$A$55:$F$346,6,0),IFERROR(VLOOKUP($B222,'Privacy Analyst Evaluation'!$A$46:$F$120,6,0),""))&amp;""</f>
        <v/>
      </c>
      <c r="G222" s="243"/>
      <c r="H222" s="242" t="str">
        <f aca="false">IFERROR(IF($H221+1&gt;'(backend scoring)'!$Q$335,"",$H221+1),"")</f>
        <v/>
      </c>
      <c r="I222" s="242" t="str">
        <f aca="false">_xlfn.XLOOKUP($H222,'(backend scoring)'!$S$2:$S$333,'(backend scoring)'!$A$2:$A$333,"")</f>
        <v/>
      </c>
      <c r="J222" s="242" t="str">
        <f aca="false">IFERROR(VLOOKUP($I222,'Institution Evaluation'!$A$55:$F$346,2,0),IFERROR(VLOOKUP($I222,'Privacy Analyst Evaluation'!$A$46:$F$120,2,0),""))</f>
        <v/>
      </c>
      <c r="K222" s="242" t="str">
        <f aca="false">IFERROR(VLOOKUP($I222,'Institution Evaluation'!$A$55:$F$346,3,0),IFERROR(VLOOKUP($I222,'Privacy Analyst Evaluation'!$A$46:$F$120,3,0),""))&amp;""</f>
        <v/>
      </c>
      <c r="L222" s="242" t="str">
        <f aca="false">IFERROR(VLOOKUP($I222,'Institution Evaluation'!$A$55:$F$346,4,0),IFERROR(VLOOKUP($I222,'Privacy Analyst Evaluation'!$A$46:$F$120,4,0),""))&amp;""</f>
        <v/>
      </c>
      <c r="M222" s="242" t="str">
        <f aca="false">IFERROR(VLOOKUP($I222,'Institution Evaluation'!$A$55:$F$346,6,0),IFERROR(VLOOKUP($I222,'Privacy Analyst Evaluation'!$A$46:$F$120,6,0),""))&amp;""</f>
        <v/>
      </c>
    </row>
    <row r="223" customFormat="false" ht="15" hidden="false" customHeight="false" outlineLevel="0" collapsed="false">
      <c r="A223" s="242" t="str">
        <f aca="false">IFERROR(IF($A222+1&gt;'(backend scoring)'!$T$335,"",$A222+1),"")</f>
        <v/>
      </c>
      <c r="B223" s="242" t="str">
        <f aca="false">_xlfn.XLOOKUP($A223,'(backend scoring)'!$V$2:$V$333,'(backend scoring)'!$A$2:$A$333,"")</f>
        <v/>
      </c>
      <c r="C223" s="242" t="str">
        <f aca="false">IFERROR(VLOOKUP($B223,'Institution Evaluation'!$A$55:$F$346,2,0),IFERROR(VLOOKUP($B223,'Privacy Analyst Evaluation'!$A$46:$F$120,2,0),""))&amp;""</f>
        <v/>
      </c>
      <c r="D223" s="242" t="str">
        <f aca="false">IFERROR(VLOOKUP($B223,'Institution Evaluation'!$A$55:$F$346,3,0),IFERROR(VLOOKUP($B223,'Privacy Analyst Evaluation'!$A$46:$F$120,3,0),""))&amp;""</f>
        <v/>
      </c>
      <c r="E223" s="242" t="str">
        <f aca="false">IFERROR(VLOOKUP($B223,'Institution Evaluation'!$A$55:$F$346,4,0),IFERROR(VLOOKUP($B223,'Privacy Analyst Evaluation'!$A$46:$F$120,4,0),""))&amp;""</f>
        <v/>
      </c>
      <c r="F223" s="242" t="str">
        <f aca="false">IFERROR(VLOOKUP($B223,'Institution Evaluation'!$A$55:$F$346,6,0),IFERROR(VLOOKUP($B223,'Privacy Analyst Evaluation'!$A$46:$F$120,6,0),""))&amp;""</f>
        <v/>
      </c>
      <c r="G223" s="243"/>
      <c r="H223" s="242" t="str">
        <f aca="false">IFERROR(IF($H222+1&gt;'(backend scoring)'!$Q$335,"",$H222+1),"")</f>
        <v/>
      </c>
      <c r="I223" s="242" t="str">
        <f aca="false">_xlfn.XLOOKUP($H223,'(backend scoring)'!$S$2:$S$333,'(backend scoring)'!$A$2:$A$333,"")</f>
        <v/>
      </c>
      <c r="J223" s="242" t="str">
        <f aca="false">IFERROR(VLOOKUP($I223,'Institution Evaluation'!$A$55:$F$346,2,0),IFERROR(VLOOKUP($I223,'Privacy Analyst Evaluation'!$A$46:$F$120,2,0),""))</f>
        <v/>
      </c>
      <c r="K223" s="242" t="str">
        <f aca="false">IFERROR(VLOOKUP($I223,'Institution Evaluation'!$A$55:$F$346,3,0),IFERROR(VLOOKUP($I223,'Privacy Analyst Evaluation'!$A$46:$F$120,3,0),""))&amp;""</f>
        <v/>
      </c>
      <c r="L223" s="242" t="str">
        <f aca="false">IFERROR(VLOOKUP($I223,'Institution Evaluation'!$A$55:$F$346,4,0),IFERROR(VLOOKUP($I223,'Privacy Analyst Evaluation'!$A$46:$F$120,4,0),""))&amp;""</f>
        <v/>
      </c>
      <c r="M223" s="242" t="str">
        <f aca="false">IFERROR(VLOOKUP($I223,'Institution Evaluation'!$A$55:$F$346,6,0),IFERROR(VLOOKUP($I223,'Privacy Analyst Evaluation'!$A$46:$F$120,6,0),""))&amp;""</f>
        <v/>
      </c>
    </row>
    <row r="224" customFormat="false" ht="15" hidden="false" customHeight="false" outlineLevel="0" collapsed="false">
      <c r="A224" s="242" t="str">
        <f aca="false">IFERROR(IF($A223+1&gt;'(backend scoring)'!$T$335,"",$A223+1),"")</f>
        <v/>
      </c>
      <c r="B224" s="242" t="str">
        <f aca="false">_xlfn.XLOOKUP($A224,'(backend scoring)'!$V$2:$V$333,'(backend scoring)'!$A$2:$A$333,"")</f>
        <v/>
      </c>
      <c r="C224" s="242" t="str">
        <f aca="false">IFERROR(VLOOKUP($B224,'Institution Evaluation'!$A$55:$F$346,2,0),IFERROR(VLOOKUP($B224,'Privacy Analyst Evaluation'!$A$46:$F$120,2,0),""))&amp;""</f>
        <v/>
      </c>
      <c r="D224" s="242" t="str">
        <f aca="false">IFERROR(VLOOKUP($B224,'Institution Evaluation'!$A$55:$F$346,3,0),IFERROR(VLOOKUP($B224,'Privacy Analyst Evaluation'!$A$46:$F$120,3,0),""))&amp;""</f>
        <v/>
      </c>
      <c r="E224" s="242" t="str">
        <f aca="false">IFERROR(VLOOKUP($B224,'Institution Evaluation'!$A$55:$F$346,4,0),IFERROR(VLOOKUP($B224,'Privacy Analyst Evaluation'!$A$46:$F$120,4,0),""))&amp;""</f>
        <v/>
      </c>
      <c r="F224" s="242" t="str">
        <f aca="false">IFERROR(VLOOKUP($B224,'Institution Evaluation'!$A$55:$F$346,6,0),IFERROR(VLOOKUP($B224,'Privacy Analyst Evaluation'!$A$46:$F$120,6,0),""))&amp;""</f>
        <v/>
      </c>
      <c r="G224" s="243"/>
      <c r="H224" s="242" t="str">
        <f aca="false">IFERROR(IF($H223+1&gt;'(backend scoring)'!$Q$335,"",$H223+1),"")</f>
        <v/>
      </c>
      <c r="I224" s="242" t="str">
        <f aca="false">_xlfn.XLOOKUP($H224,'(backend scoring)'!$S$2:$S$333,'(backend scoring)'!$A$2:$A$333,"")</f>
        <v/>
      </c>
      <c r="J224" s="242" t="str">
        <f aca="false">IFERROR(VLOOKUP($I224,'Institution Evaluation'!$A$55:$F$346,2,0),IFERROR(VLOOKUP($I224,'Privacy Analyst Evaluation'!$A$46:$F$120,2,0),""))</f>
        <v/>
      </c>
      <c r="K224" s="242" t="str">
        <f aca="false">IFERROR(VLOOKUP($I224,'Institution Evaluation'!$A$55:$F$346,3,0),IFERROR(VLOOKUP($I224,'Privacy Analyst Evaluation'!$A$46:$F$120,3,0),""))&amp;""</f>
        <v/>
      </c>
      <c r="L224" s="242" t="str">
        <f aca="false">IFERROR(VLOOKUP($I224,'Institution Evaluation'!$A$55:$F$346,4,0),IFERROR(VLOOKUP($I224,'Privacy Analyst Evaluation'!$A$46:$F$120,4,0),""))&amp;""</f>
        <v/>
      </c>
      <c r="M224" s="242" t="str">
        <f aca="false">IFERROR(VLOOKUP($I224,'Institution Evaluation'!$A$55:$F$346,6,0),IFERROR(VLOOKUP($I224,'Privacy Analyst Evaluation'!$A$46:$F$120,6,0),""))&amp;""</f>
        <v/>
      </c>
    </row>
    <row r="225" customFormat="false" ht="15" hidden="false" customHeight="false" outlineLevel="0" collapsed="false">
      <c r="A225" s="242" t="str">
        <f aca="false">IFERROR(IF($A224+1&gt;'(backend scoring)'!$T$335,"",$A224+1),"")</f>
        <v/>
      </c>
      <c r="B225" s="242" t="str">
        <f aca="false">_xlfn.XLOOKUP($A225,'(backend scoring)'!$V$2:$V$333,'(backend scoring)'!$A$2:$A$333,"")</f>
        <v/>
      </c>
      <c r="C225" s="242" t="str">
        <f aca="false">IFERROR(VLOOKUP($B225,'Institution Evaluation'!$A$55:$F$346,2,0),IFERROR(VLOOKUP($B225,'Privacy Analyst Evaluation'!$A$46:$F$120,2,0),""))&amp;""</f>
        <v/>
      </c>
      <c r="D225" s="242" t="str">
        <f aca="false">IFERROR(VLOOKUP($B225,'Institution Evaluation'!$A$55:$F$346,3,0),IFERROR(VLOOKUP($B225,'Privacy Analyst Evaluation'!$A$46:$F$120,3,0),""))&amp;""</f>
        <v/>
      </c>
      <c r="E225" s="242" t="str">
        <f aca="false">IFERROR(VLOOKUP($B225,'Institution Evaluation'!$A$55:$F$346,4,0),IFERROR(VLOOKUP($B225,'Privacy Analyst Evaluation'!$A$46:$F$120,4,0),""))&amp;""</f>
        <v/>
      </c>
      <c r="F225" s="242" t="str">
        <f aca="false">IFERROR(VLOOKUP($B225,'Institution Evaluation'!$A$55:$F$346,6,0),IFERROR(VLOOKUP($B225,'Privacy Analyst Evaluation'!$A$46:$F$120,6,0),""))&amp;""</f>
        <v/>
      </c>
      <c r="G225" s="243"/>
      <c r="H225" s="242" t="str">
        <f aca="false">IFERROR(IF($H224+1&gt;'(backend scoring)'!$Q$335,"",$H224+1),"")</f>
        <v/>
      </c>
      <c r="I225" s="242" t="str">
        <f aca="false">_xlfn.XLOOKUP($H225,'(backend scoring)'!$S$2:$S$333,'(backend scoring)'!$A$2:$A$333,"")</f>
        <v/>
      </c>
      <c r="J225" s="242" t="str">
        <f aca="false">IFERROR(VLOOKUP($I225,'Institution Evaluation'!$A$55:$F$346,2,0),IFERROR(VLOOKUP($I225,'Privacy Analyst Evaluation'!$A$46:$F$120,2,0),""))</f>
        <v/>
      </c>
      <c r="K225" s="242" t="str">
        <f aca="false">IFERROR(VLOOKUP($I225,'Institution Evaluation'!$A$55:$F$346,3,0),IFERROR(VLOOKUP($I225,'Privacy Analyst Evaluation'!$A$46:$F$120,3,0),""))&amp;""</f>
        <v/>
      </c>
      <c r="L225" s="242" t="str">
        <f aca="false">IFERROR(VLOOKUP($I225,'Institution Evaluation'!$A$55:$F$346,4,0),IFERROR(VLOOKUP($I225,'Privacy Analyst Evaluation'!$A$46:$F$120,4,0),""))&amp;""</f>
        <v/>
      </c>
      <c r="M225" s="242" t="str">
        <f aca="false">IFERROR(VLOOKUP($I225,'Institution Evaluation'!$A$55:$F$346,6,0),IFERROR(VLOOKUP($I225,'Privacy Analyst Evaluation'!$A$46:$F$120,6,0),""))&amp;""</f>
        <v/>
      </c>
    </row>
    <row r="226" customFormat="false" ht="15" hidden="false" customHeight="false" outlineLevel="0" collapsed="false">
      <c r="A226" s="242" t="str">
        <f aca="false">IFERROR(IF($A225+1&gt;'(backend scoring)'!$T$335,"",$A225+1),"")</f>
        <v/>
      </c>
      <c r="B226" s="242" t="str">
        <f aca="false">_xlfn.XLOOKUP($A226,'(backend scoring)'!$V$2:$V$333,'(backend scoring)'!$A$2:$A$333,"")</f>
        <v/>
      </c>
      <c r="C226" s="242" t="str">
        <f aca="false">IFERROR(VLOOKUP($B226,'Institution Evaluation'!$A$55:$F$346,2,0),IFERROR(VLOOKUP($B226,'Privacy Analyst Evaluation'!$A$46:$F$120,2,0),""))&amp;""</f>
        <v/>
      </c>
      <c r="D226" s="242" t="str">
        <f aca="false">IFERROR(VLOOKUP($B226,'Institution Evaluation'!$A$55:$F$346,3,0),IFERROR(VLOOKUP($B226,'Privacy Analyst Evaluation'!$A$46:$F$120,3,0),""))&amp;""</f>
        <v/>
      </c>
      <c r="E226" s="242" t="str">
        <f aca="false">IFERROR(VLOOKUP($B226,'Institution Evaluation'!$A$55:$F$346,4,0),IFERROR(VLOOKUP($B226,'Privacy Analyst Evaluation'!$A$46:$F$120,4,0),""))&amp;""</f>
        <v/>
      </c>
      <c r="F226" s="242" t="str">
        <f aca="false">IFERROR(VLOOKUP($B226,'Institution Evaluation'!$A$55:$F$346,6,0),IFERROR(VLOOKUP($B226,'Privacy Analyst Evaluation'!$A$46:$F$120,6,0),""))&amp;""</f>
        <v/>
      </c>
      <c r="G226" s="243"/>
      <c r="H226" s="242" t="str">
        <f aca="false">IFERROR(IF($H225+1&gt;'(backend scoring)'!$Q$335,"",$H225+1),"")</f>
        <v/>
      </c>
      <c r="I226" s="242" t="str">
        <f aca="false">_xlfn.XLOOKUP($H226,'(backend scoring)'!$S$2:$S$333,'(backend scoring)'!$A$2:$A$333,"")</f>
        <v/>
      </c>
      <c r="J226" s="242" t="str">
        <f aca="false">IFERROR(VLOOKUP($I226,'Institution Evaluation'!$A$55:$F$346,2,0),IFERROR(VLOOKUP($I226,'Privacy Analyst Evaluation'!$A$46:$F$120,2,0),""))</f>
        <v/>
      </c>
      <c r="K226" s="242" t="str">
        <f aca="false">IFERROR(VLOOKUP($I226,'Institution Evaluation'!$A$55:$F$346,3,0),IFERROR(VLOOKUP($I226,'Privacy Analyst Evaluation'!$A$46:$F$120,3,0),""))&amp;""</f>
        <v/>
      </c>
      <c r="L226" s="242" t="str">
        <f aca="false">IFERROR(VLOOKUP($I226,'Institution Evaluation'!$A$55:$F$346,4,0),IFERROR(VLOOKUP($I226,'Privacy Analyst Evaluation'!$A$46:$F$120,4,0),""))&amp;""</f>
        <v/>
      </c>
      <c r="M226" s="242" t="str">
        <f aca="false">IFERROR(VLOOKUP($I226,'Institution Evaluation'!$A$55:$F$346,6,0),IFERROR(VLOOKUP($I226,'Privacy Analyst Evaluation'!$A$46:$F$120,6,0),""))&amp;""</f>
        <v/>
      </c>
    </row>
    <row r="227" customFormat="false" ht="15" hidden="false" customHeight="false" outlineLevel="0" collapsed="false">
      <c r="A227" s="242" t="str">
        <f aca="false">IFERROR(IF($A226+1&gt;'(backend scoring)'!$T$335,"",$A226+1),"")</f>
        <v/>
      </c>
      <c r="B227" s="242" t="str">
        <f aca="false">_xlfn.XLOOKUP($A227,'(backend scoring)'!$V$2:$V$333,'(backend scoring)'!$A$2:$A$333,"")</f>
        <v/>
      </c>
      <c r="C227" s="242" t="str">
        <f aca="false">IFERROR(VLOOKUP($B227,'Institution Evaluation'!$A$55:$F$346,2,0),IFERROR(VLOOKUP($B227,'Privacy Analyst Evaluation'!$A$46:$F$120,2,0),""))&amp;""</f>
        <v/>
      </c>
      <c r="D227" s="242" t="str">
        <f aca="false">IFERROR(VLOOKUP($B227,'Institution Evaluation'!$A$55:$F$346,3,0),IFERROR(VLOOKUP($B227,'Privacy Analyst Evaluation'!$A$46:$F$120,3,0),""))&amp;""</f>
        <v/>
      </c>
      <c r="E227" s="242" t="str">
        <f aca="false">IFERROR(VLOOKUP($B227,'Institution Evaluation'!$A$55:$F$346,4,0),IFERROR(VLOOKUP($B227,'Privacy Analyst Evaluation'!$A$46:$F$120,4,0),""))&amp;""</f>
        <v/>
      </c>
      <c r="F227" s="242" t="str">
        <f aca="false">IFERROR(VLOOKUP($B227,'Institution Evaluation'!$A$55:$F$346,6,0),IFERROR(VLOOKUP($B227,'Privacy Analyst Evaluation'!$A$46:$F$120,6,0),""))&amp;""</f>
        <v/>
      </c>
      <c r="G227" s="243"/>
      <c r="H227" s="242" t="str">
        <f aca="false">IFERROR(IF($H226+1&gt;'(backend scoring)'!$Q$335,"",$H226+1),"")</f>
        <v/>
      </c>
      <c r="I227" s="242" t="str">
        <f aca="false">_xlfn.XLOOKUP($H227,'(backend scoring)'!$S$2:$S$333,'(backend scoring)'!$A$2:$A$333,"")</f>
        <v/>
      </c>
      <c r="J227" s="242" t="str">
        <f aca="false">IFERROR(VLOOKUP($I227,'Institution Evaluation'!$A$55:$F$346,2,0),IFERROR(VLOOKUP($I227,'Privacy Analyst Evaluation'!$A$46:$F$120,2,0),""))</f>
        <v/>
      </c>
      <c r="K227" s="242" t="str">
        <f aca="false">IFERROR(VLOOKUP($I227,'Institution Evaluation'!$A$55:$F$346,3,0),IFERROR(VLOOKUP($I227,'Privacy Analyst Evaluation'!$A$46:$F$120,3,0),""))&amp;""</f>
        <v/>
      </c>
      <c r="L227" s="242" t="str">
        <f aca="false">IFERROR(VLOOKUP($I227,'Institution Evaluation'!$A$55:$F$346,4,0),IFERROR(VLOOKUP($I227,'Privacy Analyst Evaluation'!$A$46:$F$120,4,0),""))&amp;""</f>
        <v/>
      </c>
      <c r="M227" s="242" t="str">
        <f aca="false">IFERROR(VLOOKUP($I227,'Institution Evaluation'!$A$55:$F$346,6,0),IFERROR(VLOOKUP($I227,'Privacy Analyst Evaluation'!$A$46:$F$120,6,0),""))&amp;""</f>
        <v/>
      </c>
    </row>
    <row r="228" customFormat="false" ht="15" hidden="false" customHeight="false" outlineLevel="0" collapsed="false">
      <c r="A228" s="242" t="str">
        <f aca="false">IFERROR(IF($A227+1&gt;'(backend scoring)'!$T$335,"",$A227+1),"")</f>
        <v/>
      </c>
      <c r="B228" s="242" t="str">
        <f aca="false">_xlfn.XLOOKUP($A228,'(backend scoring)'!$V$2:$V$333,'(backend scoring)'!$A$2:$A$333,"")</f>
        <v/>
      </c>
      <c r="C228" s="242" t="str">
        <f aca="false">IFERROR(VLOOKUP($B228,'Institution Evaluation'!$A$55:$F$346,2,0),IFERROR(VLOOKUP($B228,'Privacy Analyst Evaluation'!$A$46:$F$120,2,0),""))&amp;""</f>
        <v/>
      </c>
      <c r="D228" s="242" t="str">
        <f aca="false">IFERROR(VLOOKUP($B228,'Institution Evaluation'!$A$55:$F$346,3,0),IFERROR(VLOOKUP($B228,'Privacy Analyst Evaluation'!$A$46:$F$120,3,0),""))&amp;""</f>
        <v/>
      </c>
      <c r="E228" s="242" t="str">
        <f aca="false">IFERROR(VLOOKUP($B228,'Institution Evaluation'!$A$55:$F$346,4,0),IFERROR(VLOOKUP($B228,'Privacy Analyst Evaluation'!$A$46:$F$120,4,0),""))&amp;""</f>
        <v/>
      </c>
      <c r="F228" s="242" t="str">
        <f aca="false">IFERROR(VLOOKUP($B228,'Institution Evaluation'!$A$55:$F$346,6,0),IFERROR(VLOOKUP($B228,'Privacy Analyst Evaluation'!$A$46:$F$120,6,0),""))&amp;""</f>
        <v/>
      </c>
      <c r="G228" s="243"/>
      <c r="H228" s="242" t="str">
        <f aca="false">IFERROR(IF($H227+1&gt;'(backend scoring)'!$Q$335,"",$H227+1),"")</f>
        <v/>
      </c>
      <c r="I228" s="242" t="str">
        <f aca="false">_xlfn.XLOOKUP($H228,'(backend scoring)'!$S$2:$S$333,'(backend scoring)'!$A$2:$A$333,"")</f>
        <v/>
      </c>
      <c r="J228" s="242" t="str">
        <f aca="false">IFERROR(VLOOKUP($I228,'Institution Evaluation'!$A$55:$F$346,2,0),IFERROR(VLOOKUP($I228,'Privacy Analyst Evaluation'!$A$46:$F$120,2,0),""))</f>
        <v/>
      </c>
      <c r="K228" s="242" t="str">
        <f aca="false">IFERROR(VLOOKUP($I228,'Institution Evaluation'!$A$55:$F$346,3,0),IFERROR(VLOOKUP($I228,'Privacy Analyst Evaluation'!$A$46:$F$120,3,0),""))&amp;""</f>
        <v/>
      </c>
      <c r="L228" s="242" t="str">
        <f aca="false">IFERROR(VLOOKUP($I228,'Institution Evaluation'!$A$55:$F$346,4,0),IFERROR(VLOOKUP($I228,'Privacy Analyst Evaluation'!$A$46:$F$120,4,0),""))&amp;""</f>
        <v/>
      </c>
      <c r="M228" s="242" t="str">
        <f aca="false">IFERROR(VLOOKUP($I228,'Institution Evaluation'!$A$55:$F$346,6,0),IFERROR(VLOOKUP($I228,'Privacy Analyst Evaluation'!$A$46:$F$120,6,0),""))&amp;""</f>
        <v/>
      </c>
    </row>
    <row r="229" customFormat="false" ht="15" hidden="false" customHeight="false" outlineLevel="0" collapsed="false">
      <c r="A229" s="242" t="str">
        <f aca="false">IFERROR(IF($A228+1&gt;'(backend scoring)'!$T$335,"",$A228+1),"")</f>
        <v/>
      </c>
      <c r="B229" s="242" t="str">
        <f aca="false">_xlfn.XLOOKUP($A229,'(backend scoring)'!$V$2:$V$333,'(backend scoring)'!$A$2:$A$333,"")</f>
        <v/>
      </c>
      <c r="C229" s="242" t="str">
        <f aca="false">IFERROR(VLOOKUP($B229,'Institution Evaluation'!$A$55:$F$346,2,0),IFERROR(VLOOKUP($B229,'Privacy Analyst Evaluation'!$A$46:$F$120,2,0),""))&amp;""</f>
        <v/>
      </c>
      <c r="D229" s="242" t="str">
        <f aca="false">IFERROR(VLOOKUP($B229,'Institution Evaluation'!$A$55:$F$346,3,0),IFERROR(VLOOKUP($B229,'Privacy Analyst Evaluation'!$A$46:$F$120,3,0),""))&amp;""</f>
        <v/>
      </c>
      <c r="E229" s="242" t="str">
        <f aca="false">IFERROR(VLOOKUP($B229,'Institution Evaluation'!$A$55:$F$346,4,0),IFERROR(VLOOKUP($B229,'Privacy Analyst Evaluation'!$A$46:$F$120,4,0),""))&amp;""</f>
        <v/>
      </c>
      <c r="F229" s="242" t="str">
        <f aca="false">IFERROR(VLOOKUP($B229,'Institution Evaluation'!$A$55:$F$346,6,0),IFERROR(VLOOKUP($B229,'Privacy Analyst Evaluation'!$A$46:$F$120,6,0),""))&amp;""</f>
        <v/>
      </c>
      <c r="G229" s="243"/>
      <c r="H229" s="242" t="str">
        <f aca="false">IFERROR(IF($H228+1&gt;'(backend scoring)'!$Q$335,"",$H228+1),"")</f>
        <v/>
      </c>
      <c r="I229" s="242" t="str">
        <f aca="false">_xlfn.XLOOKUP($H229,'(backend scoring)'!$S$2:$S$333,'(backend scoring)'!$A$2:$A$333,"")</f>
        <v/>
      </c>
      <c r="J229" s="242" t="str">
        <f aca="false">IFERROR(VLOOKUP($I229,'Institution Evaluation'!$A$55:$F$346,2,0),IFERROR(VLOOKUP($I229,'Privacy Analyst Evaluation'!$A$46:$F$120,2,0),""))</f>
        <v/>
      </c>
      <c r="K229" s="242" t="str">
        <f aca="false">IFERROR(VLOOKUP($I229,'Institution Evaluation'!$A$55:$F$346,3,0),IFERROR(VLOOKUP($I229,'Privacy Analyst Evaluation'!$A$46:$F$120,3,0),""))&amp;""</f>
        <v/>
      </c>
      <c r="L229" s="242" t="str">
        <f aca="false">IFERROR(VLOOKUP($I229,'Institution Evaluation'!$A$55:$F$346,4,0),IFERROR(VLOOKUP($I229,'Privacy Analyst Evaluation'!$A$46:$F$120,4,0),""))&amp;""</f>
        <v/>
      </c>
      <c r="M229" s="242" t="str">
        <f aca="false">IFERROR(VLOOKUP($I229,'Institution Evaluation'!$A$55:$F$346,6,0),IFERROR(VLOOKUP($I229,'Privacy Analyst Evaluation'!$A$46:$F$120,6,0),""))&amp;""</f>
        <v/>
      </c>
    </row>
    <row r="230" customFormat="false" ht="15" hidden="false" customHeight="false" outlineLevel="0" collapsed="false">
      <c r="A230" s="242" t="str">
        <f aca="false">IFERROR(IF($A229+1&gt;'(backend scoring)'!$T$335,"",$A229+1),"")</f>
        <v/>
      </c>
      <c r="B230" s="242" t="str">
        <f aca="false">_xlfn.XLOOKUP($A230,'(backend scoring)'!$V$2:$V$333,'(backend scoring)'!$A$2:$A$333,"")</f>
        <v/>
      </c>
      <c r="C230" s="242" t="str">
        <f aca="false">IFERROR(VLOOKUP($B230,'Institution Evaluation'!$A$55:$F$346,2,0),IFERROR(VLOOKUP($B230,'Privacy Analyst Evaluation'!$A$46:$F$120,2,0),""))&amp;""</f>
        <v/>
      </c>
      <c r="D230" s="242" t="str">
        <f aca="false">IFERROR(VLOOKUP($B230,'Institution Evaluation'!$A$55:$F$346,3,0),IFERROR(VLOOKUP($B230,'Privacy Analyst Evaluation'!$A$46:$F$120,3,0),""))&amp;""</f>
        <v/>
      </c>
      <c r="E230" s="242" t="str">
        <f aca="false">IFERROR(VLOOKUP($B230,'Institution Evaluation'!$A$55:$F$346,4,0),IFERROR(VLOOKUP($B230,'Privacy Analyst Evaluation'!$A$46:$F$120,4,0),""))&amp;""</f>
        <v/>
      </c>
      <c r="F230" s="242" t="str">
        <f aca="false">IFERROR(VLOOKUP($B230,'Institution Evaluation'!$A$55:$F$346,6,0),IFERROR(VLOOKUP($B230,'Privacy Analyst Evaluation'!$A$46:$F$120,6,0),""))&amp;""</f>
        <v/>
      </c>
      <c r="G230" s="243"/>
      <c r="H230" s="242" t="str">
        <f aca="false">IFERROR(IF($H229+1&gt;'(backend scoring)'!$Q$335,"",$H229+1),"")</f>
        <v/>
      </c>
      <c r="I230" s="242" t="str">
        <f aca="false">_xlfn.XLOOKUP($H230,'(backend scoring)'!$S$2:$S$333,'(backend scoring)'!$A$2:$A$333,"")</f>
        <v/>
      </c>
      <c r="J230" s="242" t="str">
        <f aca="false">IFERROR(VLOOKUP($I230,'Institution Evaluation'!$A$55:$F$346,2,0),IFERROR(VLOOKUP($I230,'Privacy Analyst Evaluation'!$A$46:$F$120,2,0),""))</f>
        <v/>
      </c>
      <c r="K230" s="242" t="str">
        <f aca="false">IFERROR(VLOOKUP($I230,'Institution Evaluation'!$A$55:$F$346,3,0),IFERROR(VLOOKUP($I230,'Privacy Analyst Evaluation'!$A$46:$F$120,3,0),""))&amp;""</f>
        <v/>
      </c>
      <c r="L230" s="242" t="str">
        <f aca="false">IFERROR(VLOOKUP($I230,'Institution Evaluation'!$A$55:$F$346,4,0),IFERROR(VLOOKUP($I230,'Privacy Analyst Evaluation'!$A$46:$F$120,4,0),""))&amp;""</f>
        <v/>
      </c>
      <c r="M230" s="242" t="str">
        <f aca="false">IFERROR(VLOOKUP($I230,'Institution Evaluation'!$A$55:$F$346,6,0),IFERROR(VLOOKUP($I230,'Privacy Analyst Evaluation'!$A$46:$F$120,6,0),""))&amp;""</f>
        <v/>
      </c>
    </row>
    <row r="231" customFormat="false" ht="15" hidden="false" customHeight="false" outlineLevel="0" collapsed="false">
      <c r="A231" s="242" t="str">
        <f aca="false">IFERROR(IF($A230+1&gt;'(backend scoring)'!$T$335,"",$A230+1),"")</f>
        <v/>
      </c>
      <c r="B231" s="242" t="str">
        <f aca="false">_xlfn.XLOOKUP($A231,'(backend scoring)'!$V$2:$V$333,'(backend scoring)'!$A$2:$A$333,"")</f>
        <v/>
      </c>
      <c r="C231" s="242" t="str">
        <f aca="false">IFERROR(VLOOKUP($B231,'Institution Evaluation'!$A$55:$F$346,2,0),IFERROR(VLOOKUP($B231,'Privacy Analyst Evaluation'!$A$46:$F$120,2,0),""))&amp;""</f>
        <v/>
      </c>
      <c r="D231" s="242" t="str">
        <f aca="false">IFERROR(VLOOKUP($B231,'Institution Evaluation'!$A$55:$F$346,3,0),IFERROR(VLOOKUP($B231,'Privacy Analyst Evaluation'!$A$46:$F$120,3,0),""))&amp;""</f>
        <v/>
      </c>
      <c r="E231" s="242" t="str">
        <f aca="false">IFERROR(VLOOKUP($B231,'Institution Evaluation'!$A$55:$F$346,4,0),IFERROR(VLOOKUP($B231,'Privacy Analyst Evaluation'!$A$46:$F$120,4,0),""))&amp;""</f>
        <v/>
      </c>
      <c r="F231" s="242" t="str">
        <f aca="false">IFERROR(VLOOKUP($B231,'Institution Evaluation'!$A$55:$F$346,6,0),IFERROR(VLOOKUP($B231,'Privacy Analyst Evaluation'!$A$46:$F$120,6,0),""))&amp;""</f>
        <v/>
      </c>
      <c r="G231" s="243"/>
      <c r="H231" s="242" t="str">
        <f aca="false">IFERROR(IF($H230+1&gt;'(backend scoring)'!$Q$335,"",$H230+1),"")</f>
        <v/>
      </c>
      <c r="I231" s="242" t="str">
        <f aca="false">_xlfn.XLOOKUP($H231,'(backend scoring)'!$S$2:$S$333,'(backend scoring)'!$A$2:$A$333,"")</f>
        <v/>
      </c>
      <c r="J231" s="242" t="str">
        <f aca="false">IFERROR(VLOOKUP($I231,'Institution Evaluation'!$A$55:$F$346,2,0),IFERROR(VLOOKUP($I231,'Privacy Analyst Evaluation'!$A$46:$F$120,2,0),""))</f>
        <v/>
      </c>
      <c r="K231" s="242" t="str">
        <f aca="false">IFERROR(VLOOKUP($I231,'Institution Evaluation'!$A$55:$F$346,3,0),IFERROR(VLOOKUP($I231,'Privacy Analyst Evaluation'!$A$46:$F$120,3,0),""))&amp;""</f>
        <v/>
      </c>
      <c r="L231" s="242" t="str">
        <f aca="false">IFERROR(VLOOKUP($I231,'Institution Evaluation'!$A$55:$F$346,4,0),IFERROR(VLOOKUP($I231,'Privacy Analyst Evaluation'!$A$46:$F$120,4,0),""))&amp;""</f>
        <v/>
      </c>
      <c r="M231" s="242" t="str">
        <f aca="false">IFERROR(VLOOKUP($I231,'Institution Evaluation'!$A$55:$F$346,6,0),IFERROR(VLOOKUP($I231,'Privacy Analyst Evaluation'!$A$46:$F$120,6,0),""))&amp;""</f>
        <v/>
      </c>
    </row>
    <row r="232" customFormat="false" ht="15" hidden="false" customHeight="false" outlineLevel="0" collapsed="false">
      <c r="A232" s="242" t="str">
        <f aca="false">IFERROR(IF($A231+1&gt;'(backend scoring)'!$T$335,"",$A231+1),"")</f>
        <v/>
      </c>
      <c r="B232" s="242" t="str">
        <f aca="false">_xlfn.XLOOKUP($A232,'(backend scoring)'!$V$2:$V$333,'(backend scoring)'!$A$2:$A$333,"")</f>
        <v/>
      </c>
      <c r="C232" s="242" t="str">
        <f aca="false">IFERROR(VLOOKUP($B232,'Institution Evaluation'!$A$55:$F$346,2,0),IFERROR(VLOOKUP($B232,'Privacy Analyst Evaluation'!$A$46:$F$120,2,0),""))&amp;""</f>
        <v/>
      </c>
      <c r="D232" s="242" t="str">
        <f aca="false">IFERROR(VLOOKUP($B232,'Institution Evaluation'!$A$55:$F$346,3,0),IFERROR(VLOOKUP($B232,'Privacy Analyst Evaluation'!$A$46:$F$120,3,0),""))&amp;""</f>
        <v/>
      </c>
      <c r="E232" s="242" t="str">
        <f aca="false">IFERROR(VLOOKUP($B232,'Institution Evaluation'!$A$55:$F$346,4,0),IFERROR(VLOOKUP($B232,'Privacy Analyst Evaluation'!$A$46:$F$120,4,0),""))&amp;""</f>
        <v/>
      </c>
      <c r="F232" s="242" t="str">
        <f aca="false">IFERROR(VLOOKUP($B232,'Institution Evaluation'!$A$55:$F$346,6,0),IFERROR(VLOOKUP($B232,'Privacy Analyst Evaluation'!$A$46:$F$120,6,0),""))&amp;""</f>
        <v/>
      </c>
      <c r="G232" s="243"/>
      <c r="H232" s="242" t="str">
        <f aca="false">IFERROR(IF($H231+1&gt;'(backend scoring)'!$Q$335,"",$H231+1),"")</f>
        <v/>
      </c>
      <c r="I232" s="242" t="str">
        <f aca="false">_xlfn.XLOOKUP($H232,'(backend scoring)'!$S$2:$S$333,'(backend scoring)'!$A$2:$A$333,"")</f>
        <v/>
      </c>
      <c r="J232" s="242" t="str">
        <f aca="false">IFERROR(VLOOKUP($I232,'Institution Evaluation'!$A$55:$F$346,2,0),IFERROR(VLOOKUP($I232,'Privacy Analyst Evaluation'!$A$46:$F$120,2,0),""))</f>
        <v/>
      </c>
      <c r="K232" s="242" t="str">
        <f aca="false">IFERROR(VLOOKUP($I232,'Institution Evaluation'!$A$55:$F$346,3,0),IFERROR(VLOOKUP($I232,'Privacy Analyst Evaluation'!$A$46:$F$120,3,0),""))&amp;""</f>
        <v/>
      </c>
      <c r="L232" s="242" t="str">
        <f aca="false">IFERROR(VLOOKUP($I232,'Institution Evaluation'!$A$55:$F$346,4,0),IFERROR(VLOOKUP($I232,'Privacy Analyst Evaluation'!$A$46:$F$120,4,0),""))&amp;""</f>
        <v/>
      </c>
      <c r="M232" s="242" t="str">
        <f aca="false">IFERROR(VLOOKUP($I232,'Institution Evaluation'!$A$55:$F$346,6,0),IFERROR(VLOOKUP($I232,'Privacy Analyst Evaluation'!$A$46:$F$120,6,0),""))&amp;""</f>
        <v/>
      </c>
    </row>
    <row r="233" customFormat="false" ht="15" hidden="false" customHeight="false" outlineLevel="0" collapsed="false">
      <c r="A233" s="242" t="str">
        <f aca="false">IFERROR(IF($A232+1&gt;'(backend scoring)'!$T$335,"",$A232+1),"")</f>
        <v/>
      </c>
      <c r="B233" s="242" t="str">
        <f aca="false">_xlfn.XLOOKUP($A233,'(backend scoring)'!$V$2:$V$333,'(backend scoring)'!$A$2:$A$333,"")</f>
        <v/>
      </c>
      <c r="C233" s="242" t="str">
        <f aca="false">IFERROR(VLOOKUP($B233,'Institution Evaluation'!$A$55:$F$346,2,0),IFERROR(VLOOKUP($B233,'Privacy Analyst Evaluation'!$A$46:$F$120,2,0),""))&amp;""</f>
        <v/>
      </c>
      <c r="D233" s="242" t="str">
        <f aca="false">IFERROR(VLOOKUP($B233,'Institution Evaluation'!$A$55:$F$346,3,0),IFERROR(VLOOKUP($B233,'Privacy Analyst Evaluation'!$A$46:$F$120,3,0),""))&amp;""</f>
        <v/>
      </c>
      <c r="E233" s="242" t="str">
        <f aca="false">IFERROR(VLOOKUP($B233,'Institution Evaluation'!$A$55:$F$346,4,0),IFERROR(VLOOKUP($B233,'Privacy Analyst Evaluation'!$A$46:$F$120,4,0),""))&amp;""</f>
        <v/>
      </c>
      <c r="F233" s="242" t="str">
        <f aca="false">IFERROR(VLOOKUP($B233,'Institution Evaluation'!$A$55:$F$346,6,0),IFERROR(VLOOKUP($B233,'Privacy Analyst Evaluation'!$A$46:$F$120,6,0),""))&amp;""</f>
        <v/>
      </c>
      <c r="G233" s="243"/>
      <c r="H233" s="242" t="str">
        <f aca="false">IFERROR(IF($H232+1&gt;'(backend scoring)'!$Q$335,"",$H232+1),"")</f>
        <v/>
      </c>
      <c r="I233" s="242" t="str">
        <f aca="false">_xlfn.XLOOKUP($H233,'(backend scoring)'!$S$2:$S$333,'(backend scoring)'!$A$2:$A$333,"")</f>
        <v/>
      </c>
      <c r="J233" s="242" t="str">
        <f aca="false">IFERROR(VLOOKUP($I233,'Institution Evaluation'!$A$55:$F$346,2,0),IFERROR(VLOOKUP($I233,'Privacy Analyst Evaluation'!$A$46:$F$120,2,0),""))</f>
        <v/>
      </c>
      <c r="K233" s="242" t="str">
        <f aca="false">IFERROR(VLOOKUP($I233,'Institution Evaluation'!$A$55:$F$346,3,0),IFERROR(VLOOKUP($I233,'Privacy Analyst Evaluation'!$A$46:$F$120,3,0),""))&amp;""</f>
        <v/>
      </c>
      <c r="L233" s="242" t="str">
        <f aca="false">IFERROR(VLOOKUP($I233,'Institution Evaluation'!$A$55:$F$346,4,0),IFERROR(VLOOKUP($I233,'Privacy Analyst Evaluation'!$A$46:$F$120,4,0),""))&amp;""</f>
        <v/>
      </c>
      <c r="M233" s="242" t="str">
        <f aca="false">IFERROR(VLOOKUP($I233,'Institution Evaluation'!$A$55:$F$346,6,0),IFERROR(VLOOKUP($I233,'Privacy Analyst Evaluation'!$A$46:$F$120,6,0),""))&amp;""</f>
        <v/>
      </c>
    </row>
    <row r="234" customFormat="false" ht="15" hidden="false" customHeight="false" outlineLevel="0" collapsed="false">
      <c r="A234" s="242" t="str">
        <f aca="false">IFERROR(IF($A233+1&gt;'(backend scoring)'!$T$335,"",$A233+1),"")</f>
        <v/>
      </c>
      <c r="B234" s="242" t="str">
        <f aca="false">_xlfn.XLOOKUP($A234,'(backend scoring)'!$V$2:$V$333,'(backend scoring)'!$A$2:$A$333,"")</f>
        <v/>
      </c>
      <c r="C234" s="242" t="str">
        <f aca="false">IFERROR(VLOOKUP($B234,'Institution Evaluation'!$A$55:$F$346,2,0),IFERROR(VLOOKUP($B234,'Privacy Analyst Evaluation'!$A$46:$F$120,2,0),""))&amp;""</f>
        <v/>
      </c>
      <c r="D234" s="242" t="str">
        <f aca="false">IFERROR(VLOOKUP($B234,'Institution Evaluation'!$A$55:$F$346,3,0),IFERROR(VLOOKUP($B234,'Privacy Analyst Evaluation'!$A$46:$F$120,3,0),""))&amp;""</f>
        <v/>
      </c>
      <c r="E234" s="242" t="str">
        <f aca="false">IFERROR(VLOOKUP($B234,'Institution Evaluation'!$A$55:$F$346,4,0),IFERROR(VLOOKUP($B234,'Privacy Analyst Evaluation'!$A$46:$F$120,4,0),""))&amp;""</f>
        <v/>
      </c>
      <c r="F234" s="242" t="str">
        <f aca="false">IFERROR(VLOOKUP($B234,'Institution Evaluation'!$A$55:$F$346,6,0),IFERROR(VLOOKUP($B234,'Privacy Analyst Evaluation'!$A$46:$F$120,6,0),""))&amp;""</f>
        <v/>
      </c>
      <c r="G234" s="243"/>
      <c r="H234" s="242" t="str">
        <f aca="false">IFERROR(IF($H233+1&gt;'(backend scoring)'!$Q$335,"",$H233+1),"")</f>
        <v/>
      </c>
      <c r="I234" s="242" t="str">
        <f aca="false">_xlfn.XLOOKUP($H234,'(backend scoring)'!$S$2:$S$333,'(backend scoring)'!$A$2:$A$333,"")</f>
        <v/>
      </c>
      <c r="J234" s="242" t="str">
        <f aca="false">IFERROR(VLOOKUP($I234,'Institution Evaluation'!$A$55:$F$346,2,0),IFERROR(VLOOKUP($I234,'Privacy Analyst Evaluation'!$A$46:$F$120,2,0),""))</f>
        <v/>
      </c>
      <c r="K234" s="242" t="str">
        <f aca="false">IFERROR(VLOOKUP($I234,'Institution Evaluation'!$A$55:$F$346,3,0),IFERROR(VLOOKUP($I234,'Privacy Analyst Evaluation'!$A$46:$F$120,3,0),""))&amp;""</f>
        <v/>
      </c>
      <c r="L234" s="242" t="str">
        <f aca="false">IFERROR(VLOOKUP($I234,'Institution Evaluation'!$A$55:$F$346,4,0),IFERROR(VLOOKUP($I234,'Privacy Analyst Evaluation'!$A$46:$F$120,4,0),""))&amp;""</f>
        <v/>
      </c>
      <c r="M234" s="242" t="str">
        <f aca="false">IFERROR(VLOOKUP($I234,'Institution Evaluation'!$A$55:$F$346,6,0),IFERROR(VLOOKUP($I234,'Privacy Analyst Evaluation'!$A$46:$F$120,6,0),""))&amp;""</f>
        <v/>
      </c>
    </row>
    <row r="235" customFormat="false" ht="15" hidden="false" customHeight="false" outlineLevel="0" collapsed="false">
      <c r="A235" s="242" t="str">
        <f aca="false">IFERROR(IF($A234+1&gt;'(backend scoring)'!$T$335,"",$A234+1),"")</f>
        <v/>
      </c>
      <c r="B235" s="242" t="str">
        <f aca="false">_xlfn.XLOOKUP($A235,'(backend scoring)'!$V$2:$V$333,'(backend scoring)'!$A$2:$A$333,"")</f>
        <v/>
      </c>
      <c r="C235" s="242" t="str">
        <f aca="false">IFERROR(VLOOKUP($B235,'Institution Evaluation'!$A$55:$F$346,2,0),IFERROR(VLOOKUP($B235,'Privacy Analyst Evaluation'!$A$46:$F$120,2,0),""))&amp;""</f>
        <v/>
      </c>
      <c r="D235" s="242" t="str">
        <f aca="false">IFERROR(VLOOKUP($B235,'Institution Evaluation'!$A$55:$F$346,3,0),IFERROR(VLOOKUP($B235,'Privacy Analyst Evaluation'!$A$46:$F$120,3,0),""))&amp;""</f>
        <v/>
      </c>
      <c r="E235" s="242" t="str">
        <f aca="false">IFERROR(VLOOKUP($B235,'Institution Evaluation'!$A$55:$F$346,4,0),IFERROR(VLOOKUP($B235,'Privacy Analyst Evaluation'!$A$46:$F$120,4,0),""))&amp;""</f>
        <v/>
      </c>
      <c r="F235" s="242" t="str">
        <f aca="false">IFERROR(VLOOKUP($B235,'Institution Evaluation'!$A$55:$F$346,6,0),IFERROR(VLOOKUP($B235,'Privacy Analyst Evaluation'!$A$46:$F$120,6,0),""))&amp;""</f>
        <v/>
      </c>
      <c r="G235" s="243"/>
      <c r="H235" s="242" t="str">
        <f aca="false">IFERROR(IF($H234+1&gt;'(backend scoring)'!$Q$335,"",$H234+1),"")</f>
        <v/>
      </c>
      <c r="I235" s="242" t="str">
        <f aca="false">_xlfn.XLOOKUP($H235,'(backend scoring)'!$S$2:$S$333,'(backend scoring)'!$A$2:$A$333,"")</f>
        <v/>
      </c>
      <c r="J235" s="242" t="str">
        <f aca="false">IFERROR(VLOOKUP($I235,'Institution Evaluation'!$A$55:$F$346,2,0),IFERROR(VLOOKUP($I235,'Privacy Analyst Evaluation'!$A$46:$F$120,2,0),""))</f>
        <v/>
      </c>
      <c r="K235" s="242" t="str">
        <f aca="false">IFERROR(VLOOKUP($I235,'Institution Evaluation'!$A$55:$F$346,3,0),IFERROR(VLOOKUP($I235,'Privacy Analyst Evaluation'!$A$46:$F$120,3,0),""))&amp;""</f>
        <v/>
      </c>
      <c r="L235" s="242" t="str">
        <f aca="false">IFERROR(VLOOKUP($I235,'Institution Evaluation'!$A$55:$F$346,4,0),IFERROR(VLOOKUP($I235,'Privacy Analyst Evaluation'!$A$46:$F$120,4,0),""))&amp;""</f>
        <v/>
      </c>
      <c r="M235" s="242" t="str">
        <f aca="false">IFERROR(VLOOKUP($I235,'Institution Evaluation'!$A$55:$F$346,6,0),IFERROR(VLOOKUP($I235,'Privacy Analyst Evaluation'!$A$46:$F$120,6,0),""))&amp;""</f>
        <v/>
      </c>
    </row>
    <row r="236" customFormat="false" ht="15" hidden="false" customHeight="false" outlineLevel="0" collapsed="false">
      <c r="A236" s="242" t="str">
        <f aca="false">IFERROR(IF($A235+1&gt;'(backend scoring)'!$T$335,"",$A235+1),"")</f>
        <v/>
      </c>
      <c r="B236" s="242" t="str">
        <f aca="false">_xlfn.XLOOKUP($A236,'(backend scoring)'!$V$2:$V$333,'(backend scoring)'!$A$2:$A$333,"")</f>
        <v/>
      </c>
      <c r="C236" s="242" t="str">
        <f aca="false">IFERROR(VLOOKUP($B236,'Institution Evaluation'!$A$55:$F$346,2,0),IFERROR(VLOOKUP($B236,'Privacy Analyst Evaluation'!$A$46:$F$120,2,0),""))&amp;""</f>
        <v/>
      </c>
      <c r="D236" s="242" t="str">
        <f aca="false">IFERROR(VLOOKUP($B236,'Institution Evaluation'!$A$55:$F$346,3,0),IFERROR(VLOOKUP($B236,'Privacy Analyst Evaluation'!$A$46:$F$120,3,0),""))&amp;""</f>
        <v/>
      </c>
      <c r="E236" s="242" t="str">
        <f aca="false">IFERROR(VLOOKUP($B236,'Institution Evaluation'!$A$55:$F$346,4,0),IFERROR(VLOOKUP($B236,'Privacy Analyst Evaluation'!$A$46:$F$120,4,0),""))&amp;""</f>
        <v/>
      </c>
      <c r="F236" s="242" t="str">
        <f aca="false">IFERROR(VLOOKUP($B236,'Institution Evaluation'!$A$55:$F$346,6,0),IFERROR(VLOOKUP($B236,'Privacy Analyst Evaluation'!$A$46:$F$120,6,0),""))&amp;""</f>
        <v/>
      </c>
      <c r="G236" s="243"/>
      <c r="H236" s="242" t="str">
        <f aca="false">IFERROR(IF($H235+1&gt;'(backend scoring)'!$Q$335,"",$H235+1),"")</f>
        <v/>
      </c>
      <c r="I236" s="242" t="str">
        <f aca="false">_xlfn.XLOOKUP($H236,'(backend scoring)'!$S$2:$S$333,'(backend scoring)'!$A$2:$A$333,"")</f>
        <v/>
      </c>
      <c r="J236" s="242" t="str">
        <f aca="false">IFERROR(VLOOKUP($I236,'Institution Evaluation'!$A$55:$F$346,2,0),IFERROR(VLOOKUP($I236,'Privacy Analyst Evaluation'!$A$46:$F$120,2,0),""))</f>
        <v/>
      </c>
      <c r="K236" s="242" t="str">
        <f aca="false">IFERROR(VLOOKUP($I236,'Institution Evaluation'!$A$55:$F$346,3,0),IFERROR(VLOOKUP($I236,'Privacy Analyst Evaluation'!$A$46:$F$120,3,0),""))&amp;""</f>
        <v/>
      </c>
      <c r="L236" s="242" t="str">
        <f aca="false">IFERROR(VLOOKUP($I236,'Institution Evaluation'!$A$55:$F$346,4,0),IFERROR(VLOOKUP($I236,'Privacy Analyst Evaluation'!$A$46:$F$120,4,0),""))&amp;""</f>
        <v/>
      </c>
      <c r="M236" s="242" t="str">
        <f aca="false">IFERROR(VLOOKUP($I236,'Institution Evaluation'!$A$55:$F$346,6,0),IFERROR(VLOOKUP($I236,'Privacy Analyst Evaluation'!$A$46:$F$120,6,0),""))&amp;""</f>
        <v/>
      </c>
    </row>
    <row r="237" customFormat="false" ht="15" hidden="false" customHeight="false" outlineLevel="0" collapsed="false">
      <c r="A237" s="242" t="str">
        <f aca="false">IFERROR(IF($A236+1&gt;'(backend scoring)'!$T$335,"",$A236+1),"")</f>
        <v/>
      </c>
      <c r="B237" s="242" t="str">
        <f aca="false">_xlfn.XLOOKUP($A237,'(backend scoring)'!$V$2:$V$333,'(backend scoring)'!$A$2:$A$333,"")</f>
        <v/>
      </c>
      <c r="C237" s="242" t="str">
        <f aca="false">IFERROR(VLOOKUP($B237,'Institution Evaluation'!$A$55:$F$346,2,0),IFERROR(VLOOKUP($B237,'Privacy Analyst Evaluation'!$A$46:$F$120,2,0),""))&amp;""</f>
        <v/>
      </c>
      <c r="D237" s="242" t="str">
        <f aca="false">IFERROR(VLOOKUP($B237,'Institution Evaluation'!$A$55:$F$346,3,0),IFERROR(VLOOKUP($B237,'Privacy Analyst Evaluation'!$A$46:$F$120,3,0),""))&amp;""</f>
        <v/>
      </c>
      <c r="E237" s="242" t="str">
        <f aca="false">IFERROR(VLOOKUP($B237,'Institution Evaluation'!$A$55:$F$346,4,0),IFERROR(VLOOKUP($B237,'Privacy Analyst Evaluation'!$A$46:$F$120,4,0),""))&amp;""</f>
        <v/>
      </c>
      <c r="F237" s="242" t="str">
        <f aca="false">IFERROR(VLOOKUP($B237,'Institution Evaluation'!$A$55:$F$346,6,0),IFERROR(VLOOKUP($B237,'Privacy Analyst Evaluation'!$A$46:$F$120,6,0),""))&amp;""</f>
        <v/>
      </c>
      <c r="G237" s="243"/>
      <c r="H237" s="242" t="str">
        <f aca="false">IFERROR(IF($H236+1&gt;'(backend scoring)'!$Q$335,"",$H236+1),"")</f>
        <v/>
      </c>
      <c r="I237" s="242" t="str">
        <f aca="false">_xlfn.XLOOKUP($H237,'(backend scoring)'!$S$2:$S$333,'(backend scoring)'!$A$2:$A$333,"")</f>
        <v/>
      </c>
      <c r="J237" s="242" t="str">
        <f aca="false">IFERROR(VLOOKUP($I237,'Institution Evaluation'!$A$55:$F$346,2,0),IFERROR(VLOOKUP($I237,'Privacy Analyst Evaluation'!$A$46:$F$120,2,0),""))</f>
        <v/>
      </c>
      <c r="K237" s="242" t="str">
        <f aca="false">IFERROR(VLOOKUP($I237,'Institution Evaluation'!$A$55:$F$346,3,0),IFERROR(VLOOKUP($I237,'Privacy Analyst Evaluation'!$A$46:$F$120,3,0),""))&amp;""</f>
        <v/>
      </c>
      <c r="L237" s="242" t="str">
        <f aca="false">IFERROR(VLOOKUP($I237,'Institution Evaluation'!$A$55:$F$346,4,0),IFERROR(VLOOKUP($I237,'Privacy Analyst Evaluation'!$A$46:$F$120,4,0),""))&amp;""</f>
        <v/>
      </c>
      <c r="M237" s="242" t="str">
        <f aca="false">IFERROR(VLOOKUP($I237,'Institution Evaluation'!$A$55:$F$346,6,0),IFERROR(VLOOKUP($I237,'Privacy Analyst Evaluation'!$A$46:$F$120,6,0),""))&amp;""</f>
        <v/>
      </c>
    </row>
    <row r="238" customFormat="false" ht="15" hidden="false" customHeight="false" outlineLevel="0" collapsed="false">
      <c r="A238" s="242" t="str">
        <f aca="false">IFERROR(IF($A237+1&gt;'(backend scoring)'!$T$335,"",$A237+1),"")</f>
        <v/>
      </c>
      <c r="B238" s="242" t="str">
        <f aca="false">_xlfn.XLOOKUP($A238,'(backend scoring)'!$V$2:$V$333,'(backend scoring)'!$A$2:$A$333,"")</f>
        <v/>
      </c>
      <c r="C238" s="242" t="str">
        <f aca="false">IFERROR(VLOOKUP($B238,'Institution Evaluation'!$A$55:$F$346,2,0),IFERROR(VLOOKUP($B238,'Privacy Analyst Evaluation'!$A$46:$F$120,2,0),""))&amp;""</f>
        <v/>
      </c>
      <c r="D238" s="242" t="str">
        <f aca="false">IFERROR(VLOOKUP($B238,'Institution Evaluation'!$A$55:$F$346,3,0),IFERROR(VLOOKUP($B238,'Privacy Analyst Evaluation'!$A$46:$F$120,3,0),""))&amp;""</f>
        <v/>
      </c>
      <c r="E238" s="242" t="str">
        <f aca="false">IFERROR(VLOOKUP($B238,'Institution Evaluation'!$A$55:$F$346,4,0),IFERROR(VLOOKUP($B238,'Privacy Analyst Evaluation'!$A$46:$F$120,4,0),""))&amp;""</f>
        <v/>
      </c>
      <c r="F238" s="242" t="str">
        <f aca="false">IFERROR(VLOOKUP($B238,'Institution Evaluation'!$A$55:$F$346,6,0),IFERROR(VLOOKUP($B238,'Privacy Analyst Evaluation'!$A$46:$F$120,6,0),""))&amp;""</f>
        <v/>
      </c>
      <c r="G238" s="243"/>
      <c r="H238" s="242" t="str">
        <f aca="false">IFERROR(IF($H237+1&gt;'(backend scoring)'!$Q$335,"",$H237+1),"")</f>
        <v/>
      </c>
      <c r="I238" s="242" t="str">
        <f aca="false">_xlfn.XLOOKUP($H238,'(backend scoring)'!$S$2:$S$333,'(backend scoring)'!$A$2:$A$333,"")</f>
        <v/>
      </c>
      <c r="J238" s="242" t="str">
        <f aca="false">IFERROR(VLOOKUP($I238,'Institution Evaluation'!$A$55:$F$346,2,0),IFERROR(VLOOKUP($I238,'Privacy Analyst Evaluation'!$A$46:$F$120,2,0),""))</f>
        <v/>
      </c>
      <c r="K238" s="242" t="str">
        <f aca="false">IFERROR(VLOOKUP($I238,'Institution Evaluation'!$A$55:$F$346,3,0),IFERROR(VLOOKUP($I238,'Privacy Analyst Evaluation'!$A$46:$F$120,3,0),""))&amp;""</f>
        <v/>
      </c>
      <c r="L238" s="242" t="str">
        <f aca="false">IFERROR(VLOOKUP($I238,'Institution Evaluation'!$A$55:$F$346,4,0),IFERROR(VLOOKUP($I238,'Privacy Analyst Evaluation'!$A$46:$F$120,4,0),""))&amp;""</f>
        <v/>
      </c>
      <c r="M238" s="242" t="str">
        <f aca="false">IFERROR(VLOOKUP($I238,'Institution Evaluation'!$A$55:$F$346,6,0),IFERROR(VLOOKUP($I238,'Privacy Analyst Evaluation'!$A$46:$F$120,6,0),""))&amp;""</f>
        <v/>
      </c>
    </row>
    <row r="239" customFormat="false" ht="15" hidden="false" customHeight="false" outlineLevel="0" collapsed="false">
      <c r="A239" s="242" t="str">
        <f aca="false">IFERROR(IF($A238+1&gt;'(backend scoring)'!$T$335,"",$A238+1),"")</f>
        <v/>
      </c>
      <c r="B239" s="242" t="str">
        <f aca="false">_xlfn.XLOOKUP($A239,'(backend scoring)'!$V$2:$V$333,'(backend scoring)'!$A$2:$A$333,"")</f>
        <v/>
      </c>
      <c r="C239" s="242" t="str">
        <f aca="false">IFERROR(VLOOKUP($B239,'Institution Evaluation'!$A$55:$F$346,2,0),IFERROR(VLOOKUP($B239,'Privacy Analyst Evaluation'!$A$46:$F$120,2,0),""))&amp;""</f>
        <v/>
      </c>
      <c r="D239" s="242" t="str">
        <f aca="false">IFERROR(VLOOKUP($B239,'Institution Evaluation'!$A$55:$F$346,3,0),IFERROR(VLOOKUP($B239,'Privacy Analyst Evaluation'!$A$46:$F$120,3,0),""))&amp;""</f>
        <v/>
      </c>
      <c r="E239" s="242" t="str">
        <f aca="false">IFERROR(VLOOKUP($B239,'Institution Evaluation'!$A$55:$F$346,4,0),IFERROR(VLOOKUP($B239,'Privacy Analyst Evaluation'!$A$46:$F$120,4,0),""))&amp;""</f>
        <v/>
      </c>
      <c r="F239" s="242" t="str">
        <f aca="false">IFERROR(VLOOKUP($B239,'Institution Evaluation'!$A$55:$F$346,6,0),IFERROR(VLOOKUP($B239,'Privacy Analyst Evaluation'!$A$46:$F$120,6,0),""))&amp;""</f>
        <v/>
      </c>
      <c r="G239" s="243"/>
      <c r="H239" s="242" t="str">
        <f aca="false">IFERROR(IF($H238+1&gt;'(backend scoring)'!$Q$335,"",$H238+1),"")</f>
        <v/>
      </c>
      <c r="I239" s="242" t="str">
        <f aca="false">_xlfn.XLOOKUP($H239,'(backend scoring)'!$S$2:$S$333,'(backend scoring)'!$A$2:$A$333,"")</f>
        <v/>
      </c>
      <c r="J239" s="242" t="str">
        <f aca="false">IFERROR(VLOOKUP($I239,'Institution Evaluation'!$A$55:$F$346,2,0),IFERROR(VLOOKUP($I239,'Privacy Analyst Evaluation'!$A$46:$F$120,2,0),""))</f>
        <v/>
      </c>
      <c r="K239" s="242" t="str">
        <f aca="false">IFERROR(VLOOKUP($I239,'Institution Evaluation'!$A$55:$F$346,3,0),IFERROR(VLOOKUP($I239,'Privacy Analyst Evaluation'!$A$46:$F$120,3,0),""))&amp;""</f>
        <v/>
      </c>
      <c r="L239" s="242" t="str">
        <f aca="false">IFERROR(VLOOKUP($I239,'Institution Evaluation'!$A$55:$F$346,4,0),IFERROR(VLOOKUP($I239,'Privacy Analyst Evaluation'!$A$46:$F$120,4,0),""))&amp;""</f>
        <v/>
      </c>
      <c r="M239" s="242" t="str">
        <f aca="false">IFERROR(VLOOKUP($I239,'Institution Evaluation'!$A$55:$F$346,6,0),IFERROR(VLOOKUP($I239,'Privacy Analyst Evaluation'!$A$46:$F$120,6,0),""))&amp;""</f>
        <v/>
      </c>
    </row>
    <row r="240" customFormat="false" ht="15" hidden="false" customHeight="false" outlineLevel="0" collapsed="false">
      <c r="A240" s="242" t="str">
        <f aca="false">IFERROR(IF($A239+1&gt;'(backend scoring)'!$T$335,"",$A239+1),"")</f>
        <v/>
      </c>
      <c r="B240" s="242" t="str">
        <f aca="false">_xlfn.XLOOKUP($A240,'(backend scoring)'!$V$2:$V$333,'(backend scoring)'!$A$2:$A$333,"")</f>
        <v/>
      </c>
      <c r="C240" s="242" t="str">
        <f aca="false">IFERROR(VLOOKUP($B240,'Institution Evaluation'!$A$55:$F$346,2,0),IFERROR(VLOOKUP($B240,'Privacy Analyst Evaluation'!$A$46:$F$120,2,0),""))&amp;""</f>
        <v/>
      </c>
      <c r="D240" s="242" t="str">
        <f aca="false">IFERROR(VLOOKUP($B240,'Institution Evaluation'!$A$55:$F$346,3,0),IFERROR(VLOOKUP($B240,'Privacy Analyst Evaluation'!$A$46:$F$120,3,0),""))&amp;""</f>
        <v/>
      </c>
      <c r="E240" s="242" t="str">
        <f aca="false">IFERROR(VLOOKUP($B240,'Institution Evaluation'!$A$55:$F$346,4,0),IFERROR(VLOOKUP($B240,'Privacy Analyst Evaluation'!$A$46:$F$120,4,0),""))&amp;""</f>
        <v/>
      </c>
      <c r="F240" s="242" t="str">
        <f aca="false">IFERROR(VLOOKUP($B240,'Institution Evaluation'!$A$55:$F$346,6,0),IFERROR(VLOOKUP($B240,'Privacy Analyst Evaluation'!$A$46:$F$120,6,0),""))&amp;""</f>
        <v/>
      </c>
      <c r="G240" s="243"/>
      <c r="H240" s="242" t="str">
        <f aca="false">IFERROR(IF($H239+1&gt;'(backend scoring)'!$Q$335,"",$H239+1),"")</f>
        <v/>
      </c>
      <c r="I240" s="242" t="str">
        <f aca="false">_xlfn.XLOOKUP($H240,'(backend scoring)'!$S$2:$S$333,'(backend scoring)'!$A$2:$A$333,"")</f>
        <v/>
      </c>
      <c r="J240" s="242" t="str">
        <f aca="false">IFERROR(VLOOKUP($I240,'Institution Evaluation'!$A$55:$F$346,2,0),IFERROR(VLOOKUP($I240,'Privacy Analyst Evaluation'!$A$46:$F$120,2,0),""))</f>
        <v/>
      </c>
      <c r="K240" s="242" t="str">
        <f aca="false">IFERROR(VLOOKUP($I240,'Institution Evaluation'!$A$55:$F$346,3,0),IFERROR(VLOOKUP($I240,'Privacy Analyst Evaluation'!$A$46:$F$120,3,0),""))&amp;""</f>
        <v/>
      </c>
      <c r="L240" s="242" t="str">
        <f aca="false">IFERROR(VLOOKUP($I240,'Institution Evaluation'!$A$55:$F$346,4,0),IFERROR(VLOOKUP($I240,'Privacy Analyst Evaluation'!$A$46:$F$120,4,0),""))&amp;""</f>
        <v/>
      </c>
      <c r="M240" s="242" t="str">
        <f aca="false">IFERROR(VLOOKUP($I240,'Institution Evaluation'!$A$55:$F$346,6,0),IFERROR(VLOOKUP($I240,'Privacy Analyst Evaluation'!$A$46:$F$120,6,0),""))&amp;""</f>
        <v/>
      </c>
    </row>
    <row r="241" customFormat="false" ht="15" hidden="false" customHeight="false" outlineLevel="0" collapsed="false">
      <c r="A241" s="242" t="str">
        <f aca="false">IFERROR(IF($A240+1&gt;'(backend scoring)'!$T$335,"",$A240+1),"")</f>
        <v/>
      </c>
      <c r="B241" s="242" t="str">
        <f aca="false">_xlfn.XLOOKUP($A241,'(backend scoring)'!$V$2:$V$333,'(backend scoring)'!$A$2:$A$333,"")</f>
        <v/>
      </c>
      <c r="C241" s="242" t="str">
        <f aca="false">IFERROR(VLOOKUP($B241,'Institution Evaluation'!$A$55:$F$346,2,0),IFERROR(VLOOKUP($B241,'Privacy Analyst Evaluation'!$A$46:$F$120,2,0),""))&amp;""</f>
        <v/>
      </c>
      <c r="D241" s="242" t="str">
        <f aca="false">IFERROR(VLOOKUP($B241,'Institution Evaluation'!$A$55:$F$346,3,0),IFERROR(VLOOKUP($B241,'Privacy Analyst Evaluation'!$A$46:$F$120,3,0),""))&amp;""</f>
        <v/>
      </c>
      <c r="E241" s="242" t="str">
        <f aca="false">IFERROR(VLOOKUP($B241,'Institution Evaluation'!$A$55:$F$346,4,0),IFERROR(VLOOKUP($B241,'Privacy Analyst Evaluation'!$A$46:$F$120,4,0),""))&amp;""</f>
        <v/>
      </c>
      <c r="F241" s="242" t="str">
        <f aca="false">IFERROR(VLOOKUP($B241,'Institution Evaluation'!$A$55:$F$346,6,0),IFERROR(VLOOKUP($B241,'Privacy Analyst Evaluation'!$A$46:$F$120,6,0),""))&amp;""</f>
        <v/>
      </c>
      <c r="G241" s="243"/>
      <c r="H241" s="242" t="str">
        <f aca="false">IFERROR(IF($H240+1&gt;'(backend scoring)'!$Q$335,"",$H240+1),"")</f>
        <v/>
      </c>
      <c r="I241" s="242" t="str">
        <f aca="false">_xlfn.XLOOKUP($H241,'(backend scoring)'!$S$2:$S$333,'(backend scoring)'!$A$2:$A$333,"")</f>
        <v/>
      </c>
      <c r="J241" s="242" t="str">
        <f aca="false">IFERROR(VLOOKUP($I241,'Institution Evaluation'!$A$55:$F$346,2,0),IFERROR(VLOOKUP($I241,'Privacy Analyst Evaluation'!$A$46:$F$120,2,0),""))</f>
        <v/>
      </c>
      <c r="K241" s="242" t="str">
        <f aca="false">IFERROR(VLOOKUP($I241,'Institution Evaluation'!$A$55:$F$346,3,0),IFERROR(VLOOKUP($I241,'Privacy Analyst Evaluation'!$A$46:$F$120,3,0),""))&amp;""</f>
        <v/>
      </c>
      <c r="L241" s="242" t="str">
        <f aca="false">IFERROR(VLOOKUP($I241,'Institution Evaluation'!$A$55:$F$346,4,0),IFERROR(VLOOKUP($I241,'Privacy Analyst Evaluation'!$A$46:$F$120,4,0),""))&amp;""</f>
        <v/>
      </c>
      <c r="M241" s="242" t="str">
        <f aca="false">IFERROR(VLOOKUP($I241,'Institution Evaluation'!$A$55:$F$346,6,0),IFERROR(VLOOKUP($I241,'Privacy Analyst Evaluation'!$A$46:$F$120,6,0),""))&amp;""</f>
        <v/>
      </c>
    </row>
    <row r="242" customFormat="false" ht="15" hidden="false" customHeight="false" outlineLevel="0" collapsed="false">
      <c r="A242" s="242" t="str">
        <f aca="false">IFERROR(IF($A241+1&gt;'(backend scoring)'!$T$335,"",$A241+1),"")</f>
        <v/>
      </c>
      <c r="B242" s="242" t="str">
        <f aca="false">_xlfn.XLOOKUP($A242,'(backend scoring)'!$V$2:$V$333,'(backend scoring)'!$A$2:$A$333,"")</f>
        <v/>
      </c>
      <c r="C242" s="242" t="str">
        <f aca="false">IFERROR(VLOOKUP($B242,'Institution Evaluation'!$A$55:$F$346,2,0),IFERROR(VLOOKUP($B242,'Privacy Analyst Evaluation'!$A$46:$F$120,2,0),""))&amp;""</f>
        <v/>
      </c>
      <c r="D242" s="242" t="str">
        <f aca="false">IFERROR(VLOOKUP($B242,'Institution Evaluation'!$A$55:$F$346,3,0),IFERROR(VLOOKUP($B242,'Privacy Analyst Evaluation'!$A$46:$F$120,3,0),""))&amp;""</f>
        <v/>
      </c>
      <c r="E242" s="242" t="str">
        <f aca="false">IFERROR(VLOOKUP($B242,'Institution Evaluation'!$A$55:$F$346,4,0),IFERROR(VLOOKUP($B242,'Privacy Analyst Evaluation'!$A$46:$F$120,4,0),""))&amp;""</f>
        <v/>
      </c>
      <c r="F242" s="242" t="str">
        <f aca="false">IFERROR(VLOOKUP($B242,'Institution Evaluation'!$A$55:$F$346,6,0),IFERROR(VLOOKUP($B242,'Privacy Analyst Evaluation'!$A$46:$F$120,6,0),""))&amp;""</f>
        <v/>
      </c>
      <c r="G242" s="243"/>
      <c r="H242" s="242" t="str">
        <f aca="false">IFERROR(IF($H241+1&gt;'(backend scoring)'!$Q$335,"",$H241+1),"")</f>
        <v/>
      </c>
      <c r="I242" s="242" t="str">
        <f aca="false">_xlfn.XLOOKUP($H242,'(backend scoring)'!$S$2:$S$333,'(backend scoring)'!$A$2:$A$333,"")</f>
        <v/>
      </c>
      <c r="J242" s="242" t="str">
        <f aca="false">IFERROR(VLOOKUP($I242,'Institution Evaluation'!$A$55:$F$346,2,0),IFERROR(VLOOKUP($I242,'Privacy Analyst Evaluation'!$A$46:$F$120,2,0),""))</f>
        <v/>
      </c>
      <c r="K242" s="242" t="str">
        <f aca="false">IFERROR(VLOOKUP($I242,'Institution Evaluation'!$A$55:$F$346,3,0),IFERROR(VLOOKUP($I242,'Privacy Analyst Evaluation'!$A$46:$F$120,3,0),""))&amp;""</f>
        <v/>
      </c>
      <c r="L242" s="242" t="str">
        <f aca="false">IFERROR(VLOOKUP($I242,'Institution Evaluation'!$A$55:$F$346,4,0),IFERROR(VLOOKUP($I242,'Privacy Analyst Evaluation'!$A$46:$F$120,4,0),""))&amp;""</f>
        <v/>
      </c>
      <c r="M242" s="242" t="str">
        <f aca="false">IFERROR(VLOOKUP($I242,'Institution Evaluation'!$A$55:$F$346,6,0),IFERROR(VLOOKUP($I242,'Privacy Analyst Evaluation'!$A$46:$F$120,6,0),""))&amp;""</f>
        <v/>
      </c>
    </row>
    <row r="243" customFormat="false" ht="15" hidden="false" customHeight="false" outlineLevel="0" collapsed="false">
      <c r="A243" s="242" t="str">
        <f aca="false">IFERROR(IF($A242+1&gt;'(backend scoring)'!$T$335,"",$A242+1),"")</f>
        <v/>
      </c>
      <c r="B243" s="242" t="str">
        <f aca="false">_xlfn.XLOOKUP($A243,'(backend scoring)'!$V$2:$V$333,'(backend scoring)'!$A$2:$A$333,"")</f>
        <v/>
      </c>
      <c r="C243" s="242" t="str">
        <f aca="false">IFERROR(VLOOKUP($B243,'Institution Evaluation'!$A$55:$F$346,2,0),IFERROR(VLOOKUP($B243,'Privacy Analyst Evaluation'!$A$46:$F$120,2,0),""))&amp;""</f>
        <v/>
      </c>
      <c r="D243" s="242" t="str">
        <f aca="false">IFERROR(VLOOKUP($B243,'Institution Evaluation'!$A$55:$F$346,3,0),IFERROR(VLOOKUP($B243,'Privacy Analyst Evaluation'!$A$46:$F$120,3,0),""))&amp;""</f>
        <v/>
      </c>
      <c r="E243" s="242" t="str">
        <f aca="false">IFERROR(VLOOKUP($B243,'Institution Evaluation'!$A$55:$F$346,4,0),IFERROR(VLOOKUP($B243,'Privacy Analyst Evaluation'!$A$46:$F$120,4,0),""))&amp;""</f>
        <v/>
      </c>
      <c r="F243" s="242" t="str">
        <f aca="false">IFERROR(VLOOKUP($B243,'Institution Evaluation'!$A$55:$F$346,6,0),IFERROR(VLOOKUP($B243,'Privacy Analyst Evaluation'!$A$46:$F$120,6,0),""))&amp;""</f>
        <v/>
      </c>
      <c r="G243" s="243"/>
      <c r="H243" s="242" t="str">
        <f aca="false">IFERROR(IF($H242+1&gt;'(backend scoring)'!$Q$335,"",$H242+1),"")</f>
        <v/>
      </c>
      <c r="I243" s="242" t="str">
        <f aca="false">_xlfn.XLOOKUP($H243,'(backend scoring)'!$S$2:$S$333,'(backend scoring)'!$A$2:$A$333,"")</f>
        <v/>
      </c>
      <c r="J243" s="242" t="str">
        <f aca="false">IFERROR(VLOOKUP($I243,'Institution Evaluation'!$A$55:$F$346,2,0),IFERROR(VLOOKUP($I243,'Privacy Analyst Evaluation'!$A$46:$F$120,2,0),""))</f>
        <v/>
      </c>
      <c r="K243" s="242" t="str">
        <f aca="false">IFERROR(VLOOKUP($I243,'Institution Evaluation'!$A$55:$F$346,3,0),IFERROR(VLOOKUP($I243,'Privacy Analyst Evaluation'!$A$46:$F$120,3,0),""))&amp;""</f>
        <v/>
      </c>
      <c r="L243" s="242" t="str">
        <f aca="false">IFERROR(VLOOKUP($I243,'Institution Evaluation'!$A$55:$F$346,4,0),IFERROR(VLOOKUP($I243,'Privacy Analyst Evaluation'!$A$46:$F$120,4,0),""))&amp;""</f>
        <v/>
      </c>
      <c r="M243" s="242" t="str">
        <f aca="false">IFERROR(VLOOKUP($I243,'Institution Evaluation'!$A$55:$F$346,6,0),IFERROR(VLOOKUP($I243,'Privacy Analyst Evaluation'!$A$46:$F$120,6,0),""))&amp;""</f>
        <v/>
      </c>
    </row>
    <row r="244" customFormat="false" ht="15" hidden="false" customHeight="false" outlineLevel="0" collapsed="false">
      <c r="A244" s="242" t="str">
        <f aca="false">IFERROR(IF($A243+1&gt;'(backend scoring)'!$T$335,"",$A243+1),"")</f>
        <v/>
      </c>
      <c r="B244" s="242" t="str">
        <f aca="false">_xlfn.XLOOKUP($A244,'(backend scoring)'!$V$2:$V$333,'(backend scoring)'!$A$2:$A$333,"")</f>
        <v/>
      </c>
      <c r="C244" s="242" t="str">
        <f aca="false">IFERROR(VLOOKUP($B244,'Institution Evaluation'!$A$55:$F$346,2,0),IFERROR(VLOOKUP($B244,'Privacy Analyst Evaluation'!$A$46:$F$120,2,0),""))&amp;""</f>
        <v/>
      </c>
      <c r="D244" s="242" t="str">
        <f aca="false">IFERROR(VLOOKUP($B244,'Institution Evaluation'!$A$55:$F$346,3,0),IFERROR(VLOOKUP($B244,'Privacy Analyst Evaluation'!$A$46:$F$120,3,0),""))&amp;""</f>
        <v/>
      </c>
      <c r="E244" s="242" t="str">
        <f aca="false">IFERROR(VLOOKUP($B244,'Institution Evaluation'!$A$55:$F$346,4,0),IFERROR(VLOOKUP($B244,'Privacy Analyst Evaluation'!$A$46:$F$120,4,0),""))&amp;""</f>
        <v/>
      </c>
      <c r="F244" s="242" t="str">
        <f aca="false">IFERROR(VLOOKUP($B244,'Institution Evaluation'!$A$55:$F$346,6,0),IFERROR(VLOOKUP($B244,'Privacy Analyst Evaluation'!$A$46:$F$120,6,0),""))&amp;""</f>
        <v/>
      </c>
      <c r="G244" s="243"/>
      <c r="H244" s="242" t="str">
        <f aca="false">IFERROR(IF($H243+1&gt;'(backend scoring)'!$Q$335,"",$H243+1),"")</f>
        <v/>
      </c>
      <c r="I244" s="242" t="str">
        <f aca="false">_xlfn.XLOOKUP($H244,'(backend scoring)'!$S$2:$S$333,'(backend scoring)'!$A$2:$A$333,"")</f>
        <v/>
      </c>
      <c r="J244" s="242" t="str">
        <f aca="false">IFERROR(VLOOKUP($I244,'Institution Evaluation'!$A$55:$F$346,2,0),IFERROR(VLOOKUP($I244,'Privacy Analyst Evaluation'!$A$46:$F$120,2,0),""))</f>
        <v/>
      </c>
      <c r="K244" s="242" t="str">
        <f aca="false">IFERROR(VLOOKUP($I244,'Institution Evaluation'!$A$55:$F$346,3,0),IFERROR(VLOOKUP($I244,'Privacy Analyst Evaluation'!$A$46:$F$120,3,0),""))&amp;""</f>
        <v/>
      </c>
      <c r="L244" s="242" t="str">
        <f aca="false">IFERROR(VLOOKUP($I244,'Institution Evaluation'!$A$55:$F$346,4,0),IFERROR(VLOOKUP($I244,'Privacy Analyst Evaluation'!$A$46:$F$120,4,0),""))&amp;""</f>
        <v/>
      </c>
      <c r="M244" s="242" t="str">
        <f aca="false">IFERROR(VLOOKUP($I244,'Institution Evaluation'!$A$55:$F$346,6,0),IFERROR(VLOOKUP($I244,'Privacy Analyst Evaluation'!$A$46:$F$120,6,0),""))&amp;""</f>
        <v/>
      </c>
    </row>
    <row r="245" customFormat="false" ht="15" hidden="false" customHeight="false" outlineLevel="0" collapsed="false">
      <c r="A245" s="242" t="str">
        <f aca="false">IFERROR(IF($A244+1&gt;'(backend scoring)'!$T$335,"",$A244+1),"")</f>
        <v/>
      </c>
      <c r="B245" s="242" t="str">
        <f aca="false">_xlfn.XLOOKUP($A245,'(backend scoring)'!$V$2:$V$333,'(backend scoring)'!$A$2:$A$333,"")</f>
        <v/>
      </c>
      <c r="C245" s="242" t="str">
        <f aca="false">IFERROR(VLOOKUP($B245,'Institution Evaluation'!$A$55:$F$346,2,0),IFERROR(VLOOKUP($B245,'Privacy Analyst Evaluation'!$A$46:$F$120,2,0),""))&amp;""</f>
        <v/>
      </c>
      <c r="D245" s="242" t="str">
        <f aca="false">IFERROR(VLOOKUP($B245,'Institution Evaluation'!$A$55:$F$346,3,0),IFERROR(VLOOKUP($B245,'Privacy Analyst Evaluation'!$A$46:$F$120,3,0),""))&amp;""</f>
        <v/>
      </c>
      <c r="E245" s="242" t="str">
        <f aca="false">IFERROR(VLOOKUP($B245,'Institution Evaluation'!$A$55:$F$346,4,0),IFERROR(VLOOKUP($B245,'Privacy Analyst Evaluation'!$A$46:$F$120,4,0),""))&amp;""</f>
        <v/>
      </c>
      <c r="F245" s="242" t="str">
        <f aca="false">IFERROR(VLOOKUP($B245,'Institution Evaluation'!$A$55:$F$346,6,0),IFERROR(VLOOKUP($B245,'Privacy Analyst Evaluation'!$A$46:$F$120,6,0),""))&amp;""</f>
        <v/>
      </c>
      <c r="G245" s="243"/>
      <c r="H245" s="242" t="str">
        <f aca="false">IFERROR(IF($H244+1&gt;'(backend scoring)'!$Q$335,"",$H244+1),"")</f>
        <v/>
      </c>
      <c r="I245" s="242" t="str">
        <f aca="false">_xlfn.XLOOKUP($H245,'(backend scoring)'!$S$2:$S$333,'(backend scoring)'!$A$2:$A$333,"")</f>
        <v/>
      </c>
      <c r="J245" s="242" t="str">
        <f aca="false">IFERROR(VLOOKUP($I245,'Institution Evaluation'!$A$55:$F$346,2,0),IFERROR(VLOOKUP($I245,'Privacy Analyst Evaluation'!$A$46:$F$120,2,0),""))</f>
        <v/>
      </c>
      <c r="K245" s="242" t="str">
        <f aca="false">IFERROR(VLOOKUP($I245,'Institution Evaluation'!$A$55:$F$346,3,0),IFERROR(VLOOKUP($I245,'Privacy Analyst Evaluation'!$A$46:$F$120,3,0),""))&amp;""</f>
        <v/>
      </c>
      <c r="L245" s="242" t="str">
        <f aca="false">IFERROR(VLOOKUP($I245,'Institution Evaluation'!$A$55:$F$346,4,0),IFERROR(VLOOKUP($I245,'Privacy Analyst Evaluation'!$A$46:$F$120,4,0),""))&amp;""</f>
        <v/>
      </c>
      <c r="M245" s="242" t="str">
        <f aca="false">IFERROR(VLOOKUP($I245,'Institution Evaluation'!$A$55:$F$346,6,0),IFERROR(VLOOKUP($I245,'Privacy Analyst Evaluation'!$A$46:$F$120,6,0),""))&amp;""</f>
        <v/>
      </c>
    </row>
    <row r="246" customFormat="false" ht="15" hidden="false" customHeight="false" outlineLevel="0" collapsed="false">
      <c r="A246" s="242" t="str">
        <f aca="false">IFERROR(IF($A245+1&gt;'(backend scoring)'!$T$335,"",$A245+1),"")</f>
        <v/>
      </c>
      <c r="B246" s="242" t="str">
        <f aca="false">_xlfn.XLOOKUP($A246,'(backend scoring)'!$V$2:$V$333,'(backend scoring)'!$A$2:$A$333,"")</f>
        <v/>
      </c>
      <c r="C246" s="242" t="str">
        <f aca="false">IFERROR(VLOOKUP($B246,'Institution Evaluation'!$A$55:$F$346,2,0),IFERROR(VLOOKUP($B246,'Privacy Analyst Evaluation'!$A$46:$F$120,2,0),""))&amp;""</f>
        <v/>
      </c>
      <c r="D246" s="242" t="str">
        <f aca="false">IFERROR(VLOOKUP($B246,'Institution Evaluation'!$A$55:$F$346,3,0),IFERROR(VLOOKUP($B246,'Privacy Analyst Evaluation'!$A$46:$F$120,3,0),""))&amp;""</f>
        <v/>
      </c>
      <c r="E246" s="242" t="str">
        <f aca="false">IFERROR(VLOOKUP($B246,'Institution Evaluation'!$A$55:$F$346,4,0),IFERROR(VLOOKUP($B246,'Privacy Analyst Evaluation'!$A$46:$F$120,4,0),""))&amp;""</f>
        <v/>
      </c>
      <c r="F246" s="242" t="str">
        <f aca="false">IFERROR(VLOOKUP($B246,'Institution Evaluation'!$A$55:$F$346,6,0),IFERROR(VLOOKUP($B246,'Privacy Analyst Evaluation'!$A$46:$F$120,6,0),""))&amp;""</f>
        <v/>
      </c>
      <c r="G246" s="243"/>
      <c r="H246" s="242" t="str">
        <f aca="false">IFERROR(IF($H245+1&gt;'(backend scoring)'!$Q$335,"",$H245+1),"")</f>
        <v/>
      </c>
      <c r="I246" s="242" t="str">
        <f aca="false">_xlfn.XLOOKUP($H246,'(backend scoring)'!$S$2:$S$333,'(backend scoring)'!$A$2:$A$333,"")</f>
        <v/>
      </c>
      <c r="J246" s="242" t="str">
        <f aca="false">IFERROR(VLOOKUP($I246,'Institution Evaluation'!$A$55:$F$346,2,0),IFERROR(VLOOKUP($I246,'Privacy Analyst Evaluation'!$A$46:$F$120,2,0),""))</f>
        <v/>
      </c>
      <c r="K246" s="242" t="str">
        <f aca="false">IFERROR(VLOOKUP($I246,'Institution Evaluation'!$A$55:$F$346,3,0),IFERROR(VLOOKUP($I246,'Privacy Analyst Evaluation'!$A$46:$F$120,3,0),""))&amp;""</f>
        <v/>
      </c>
      <c r="L246" s="242" t="str">
        <f aca="false">IFERROR(VLOOKUP($I246,'Institution Evaluation'!$A$55:$F$346,4,0),IFERROR(VLOOKUP($I246,'Privacy Analyst Evaluation'!$A$46:$F$120,4,0),""))&amp;""</f>
        <v/>
      </c>
      <c r="M246" s="242" t="str">
        <f aca="false">IFERROR(VLOOKUP($I246,'Institution Evaluation'!$A$55:$F$346,6,0),IFERROR(VLOOKUP($I246,'Privacy Analyst Evaluation'!$A$46:$F$120,6,0),""))&amp;""</f>
        <v/>
      </c>
    </row>
    <row r="247" customFormat="false" ht="15" hidden="false" customHeight="false" outlineLevel="0" collapsed="false">
      <c r="A247" s="242" t="str">
        <f aca="false">IFERROR(IF($A246+1&gt;'(backend scoring)'!$T$335,"",$A246+1),"")</f>
        <v/>
      </c>
      <c r="B247" s="242" t="str">
        <f aca="false">_xlfn.XLOOKUP($A247,'(backend scoring)'!$V$2:$V$333,'(backend scoring)'!$A$2:$A$333,"")</f>
        <v/>
      </c>
      <c r="C247" s="242" t="str">
        <f aca="false">IFERROR(VLOOKUP($B247,'Institution Evaluation'!$A$55:$F$346,2,0),IFERROR(VLOOKUP($B247,'Privacy Analyst Evaluation'!$A$46:$F$120,2,0),""))&amp;""</f>
        <v/>
      </c>
      <c r="D247" s="242" t="str">
        <f aca="false">IFERROR(VLOOKUP($B247,'Institution Evaluation'!$A$55:$F$346,3,0),IFERROR(VLOOKUP($B247,'Privacy Analyst Evaluation'!$A$46:$F$120,3,0),""))&amp;""</f>
        <v/>
      </c>
      <c r="E247" s="242" t="str">
        <f aca="false">IFERROR(VLOOKUP($B247,'Institution Evaluation'!$A$55:$F$346,4,0),IFERROR(VLOOKUP($B247,'Privacy Analyst Evaluation'!$A$46:$F$120,4,0),""))&amp;""</f>
        <v/>
      </c>
      <c r="F247" s="242" t="str">
        <f aca="false">IFERROR(VLOOKUP($B247,'Institution Evaluation'!$A$55:$F$346,6,0),IFERROR(VLOOKUP($B247,'Privacy Analyst Evaluation'!$A$46:$F$120,6,0),""))&amp;""</f>
        <v/>
      </c>
      <c r="G247" s="243"/>
      <c r="H247" s="242" t="str">
        <f aca="false">IFERROR(IF($H246+1&gt;'(backend scoring)'!$Q$335,"",$H246+1),"")</f>
        <v/>
      </c>
      <c r="I247" s="242" t="str">
        <f aca="false">_xlfn.XLOOKUP($H247,'(backend scoring)'!$S$2:$S$333,'(backend scoring)'!$A$2:$A$333,"")</f>
        <v/>
      </c>
      <c r="J247" s="242" t="str">
        <f aca="false">IFERROR(VLOOKUP($I247,'Institution Evaluation'!$A$55:$F$346,2,0),IFERROR(VLOOKUP($I247,'Privacy Analyst Evaluation'!$A$46:$F$120,2,0),""))</f>
        <v/>
      </c>
      <c r="K247" s="242" t="str">
        <f aca="false">IFERROR(VLOOKUP($I247,'Institution Evaluation'!$A$55:$F$346,3,0),IFERROR(VLOOKUP($I247,'Privacy Analyst Evaluation'!$A$46:$F$120,3,0),""))&amp;""</f>
        <v/>
      </c>
      <c r="L247" s="242" t="str">
        <f aca="false">IFERROR(VLOOKUP($I247,'Institution Evaluation'!$A$55:$F$346,4,0),IFERROR(VLOOKUP($I247,'Privacy Analyst Evaluation'!$A$46:$F$120,4,0),""))&amp;""</f>
        <v/>
      </c>
      <c r="M247" s="242" t="str">
        <f aca="false">IFERROR(VLOOKUP($I247,'Institution Evaluation'!$A$55:$F$346,6,0),IFERROR(VLOOKUP($I247,'Privacy Analyst Evaluation'!$A$46:$F$120,6,0),""))&amp;""</f>
        <v/>
      </c>
    </row>
    <row r="248" customFormat="false" ht="15" hidden="false" customHeight="false" outlineLevel="0" collapsed="false">
      <c r="A248" s="242" t="str">
        <f aca="false">IFERROR(IF($A247+1&gt;'(backend scoring)'!$T$335,"",$A247+1),"")</f>
        <v/>
      </c>
      <c r="B248" s="242" t="str">
        <f aca="false">_xlfn.XLOOKUP($A248,'(backend scoring)'!$V$2:$V$333,'(backend scoring)'!$A$2:$A$333,"")</f>
        <v/>
      </c>
      <c r="C248" s="242" t="str">
        <f aca="false">IFERROR(VLOOKUP($B248,'Institution Evaluation'!$A$55:$F$346,2,0),IFERROR(VLOOKUP($B248,'Privacy Analyst Evaluation'!$A$46:$F$120,2,0),""))&amp;""</f>
        <v/>
      </c>
      <c r="D248" s="242" t="str">
        <f aca="false">IFERROR(VLOOKUP($B248,'Institution Evaluation'!$A$55:$F$346,3,0),IFERROR(VLOOKUP($B248,'Privacy Analyst Evaluation'!$A$46:$F$120,3,0),""))&amp;""</f>
        <v/>
      </c>
      <c r="E248" s="242" t="str">
        <f aca="false">IFERROR(VLOOKUP($B248,'Institution Evaluation'!$A$55:$F$346,4,0),IFERROR(VLOOKUP($B248,'Privacy Analyst Evaluation'!$A$46:$F$120,4,0),""))&amp;""</f>
        <v/>
      </c>
      <c r="F248" s="242" t="str">
        <f aca="false">IFERROR(VLOOKUP($B248,'Institution Evaluation'!$A$55:$F$346,6,0),IFERROR(VLOOKUP($B248,'Privacy Analyst Evaluation'!$A$46:$F$120,6,0),""))&amp;""</f>
        <v/>
      </c>
      <c r="G248" s="243"/>
      <c r="H248" s="242" t="str">
        <f aca="false">IFERROR(IF($H247+1&gt;'(backend scoring)'!$Q$335,"",$H247+1),"")</f>
        <v/>
      </c>
      <c r="I248" s="242" t="str">
        <f aca="false">_xlfn.XLOOKUP($H248,'(backend scoring)'!$S$2:$S$333,'(backend scoring)'!$A$2:$A$333,"")</f>
        <v/>
      </c>
      <c r="J248" s="242" t="str">
        <f aca="false">IFERROR(VLOOKUP($I248,'Institution Evaluation'!$A$55:$F$346,2,0),IFERROR(VLOOKUP($I248,'Privacy Analyst Evaluation'!$A$46:$F$120,2,0),""))</f>
        <v/>
      </c>
      <c r="K248" s="242" t="str">
        <f aca="false">IFERROR(VLOOKUP($I248,'Institution Evaluation'!$A$55:$F$346,3,0),IFERROR(VLOOKUP($I248,'Privacy Analyst Evaluation'!$A$46:$F$120,3,0),""))&amp;""</f>
        <v/>
      </c>
      <c r="L248" s="242" t="str">
        <f aca="false">IFERROR(VLOOKUP($I248,'Institution Evaluation'!$A$55:$F$346,4,0),IFERROR(VLOOKUP($I248,'Privacy Analyst Evaluation'!$A$46:$F$120,4,0),""))&amp;""</f>
        <v/>
      </c>
      <c r="M248" s="242" t="str">
        <f aca="false">IFERROR(VLOOKUP($I248,'Institution Evaluation'!$A$55:$F$346,6,0),IFERROR(VLOOKUP($I248,'Privacy Analyst Evaluation'!$A$46:$F$120,6,0),""))&amp;""</f>
        <v/>
      </c>
    </row>
    <row r="249" customFormat="false" ht="15" hidden="false" customHeight="false" outlineLevel="0" collapsed="false">
      <c r="A249" s="242" t="str">
        <f aca="false">IFERROR(IF($A248+1&gt;'(backend scoring)'!$T$335,"",$A248+1),"")</f>
        <v/>
      </c>
      <c r="B249" s="242" t="str">
        <f aca="false">_xlfn.XLOOKUP($A249,'(backend scoring)'!$V$2:$V$333,'(backend scoring)'!$A$2:$A$333,"")</f>
        <v/>
      </c>
      <c r="C249" s="242" t="str">
        <f aca="false">IFERROR(VLOOKUP($B249,'Institution Evaluation'!$A$55:$F$346,2,0),IFERROR(VLOOKUP($B249,'Privacy Analyst Evaluation'!$A$46:$F$120,2,0),""))&amp;""</f>
        <v/>
      </c>
      <c r="D249" s="242" t="str">
        <f aca="false">IFERROR(VLOOKUP($B249,'Institution Evaluation'!$A$55:$F$346,3,0),IFERROR(VLOOKUP($B249,'Privacy Analyst Evaluation'!$A$46:$F$120,3,0),""))&amp;""</f>
        <v/>
      </c>
      <c r="E249" s="242" t="str">
        <f aca="false">IFERROR(VLOOKUP($B249,'Institution Evaluation'!$A$55:$F$346,4,0),IFERROR(VLOOKUP($B249,'Privacy Analyst Evaluation'!$A$46:$F$120,4,0),""))&amp;""</f>
        <v/>
      </c>
      <c r="F249" s="242" t="str">
        <f aca="false">IFERROR(VLOOKUP($B249,'Institution Evaluation'!$A$55:$F$346,6,0),IFERROR(VLOOKUP($B249,'Privacy Analyst Evaluation'!$A$46:$F$120,6,0),""))&amp;""</f>
        <v/>
      </c>
      <c r="G249" s="243"/>
      <c r="H249" s="242" t="str">
        <f aca="false">IFERROR(IF($H248+1&gt;'(backend scoring)'!$Q$335,"",$H248+1),"")</f>
        <v/>
      </c>
      <c r="I249" s="242" t="str">
        <f aca="false">_xlfn.XLOOKUP($H249,'(backend scoring)'!$S$2:$S$333,'(backend scoring)'!$A$2:$A$333,"")</f>
        <v/>
      </c>
      <c r="J249" s="242" t="str">
        <f aca="false">IFERROR(VLOOKUP($I249,'Institution Evaluation'!$A$55:$F$346,2,0),IFERROR(VLOOKUP($I249,'Privacy Analyst Evaluation'!$A$46:$F$120,2,0),""))</f>
        <v/>
      </c>
      <c r="K249" s="242" t="str">
        <f aca="false">IFERROR(VLOOKUP($I249,'Institution Evaluation'!$A$55:$F$346,3,0),IFERROR(VLOOKUP($I249,'Privacy Analyst Evaluation'!$A$46:$F$120,3,0),""))&amp;""</f>
        <v/>
      </c>
      <c r="L249" s="242" t="str">
        <f aca="false">IFERROR(VLOOKUP($I249,'Institution Evaluation'!$A$55:$F$346,4,0),IFERROR(VLOOKUP($I249,'Privacy Analyst Evaluation'!$A$46:$F$120,4,0),""))&amp;""</f>
        <v/>
      </c>
      <c r="M249" s="242" t="str">
        <f aca="false">IFERROR(VLOOKUP($I249,'Institution Evaluation'!$A$55:$F$346,6,0),IFERROR(VLOOKUP($I249,'Privacy Analyst Evaluation'!$A$46:$F$120,6,0),""))&amp;""</f>
        <v/>
      </c>
    </row>
    <row r="250" customFormat="false" ht="15" hidden="false" customHeight="false" outlineLevel="0" collapsed="false">
      <c r="A250" s="242" t="str">
        <f aca="false">IFERROR(IF($A249+1&gt;'(backend scoring)'!$T$335,"",$A249+1),"")</f>
        <v/>
      </c>
      <c r="B250" s="242" t="str">
        <f aca="false">_xlfn.XLOOKUP($A250,'(backend scoring)'!$V$2:$V$333,'(backend scoring)'!$A$2:$A$333,"")</f>
        <v/>
      </c>
      <c r="C250" s="242" t="str">
        <f aca="false">IFERROR(VLOOKUP($B250,'Institution Evaluation'!$A$55:$F$346,2,0),IFERROR(VLOOKUP($B250,'Privacy Analyst Evaluation'!$A$46:$F$120,2,0),""))&amp;""</f>
        <v/>
      </c>
      <c r="D250" s="242" t="str">
        <f aca="false">IFERROR(VLOOKUP($B250,'Institution Evaluation'!$A$55:$F$346,3,0),IFERROR(VLOOKUP($B250,'Privacy Analyst Evaluation'!$A$46:$F$120,3,0),""))&amp;""</f>
        <v/>
      </c>
      <c r="E250" s="242" t="str">
        <f aca="false">IFERROR(VLOOKUP($B250,'Institution Evaluation'!$A$55:$F$346,4,0),IFERROR(VLOOKUP($B250,'Privacy Analyst Evaluation'!$A$46:$F$120,4,0),""))&amp;""</f>
        <v/>
      </c>
      <c r="F250" s="242" t="str">
        <f aca="false">IFERROR(VLOOKUP($B250,'Institution Evaluation'!$A$55:$F$346,6,0),IFERROR(VLOOKUP($B250,'Privacy Analyst Evaluation'!$A$46:$F$120,6,0),""))&amp;""</f>
        <v/>
      </c>
      <c r="G250" s="243"/>
      <c r="H250" s="242" t="str">
        <f aca="false">IFERROR(IF($H249+1&gt;'(backend scoring)'!$Q$335,"",$H249+1),"")</f>
        <v/>
      </c>
      <c r="I250" s="242" t="str">
        <f aca="false">_xlfn.XLOOKUP($H250,'(backend scoring)'!$S$2:$S$333,'(backend scoring)'!$A$2:$A$333,"")</f>
        <v/>
      </c>
      <c r="J250" s="242" t="str">
        <f aca="false">IFERROR(VLOOKUP($I250,'Institution Evaluation'!$A$55:$F$346,2,0),IFERROR(VLOOKUP($I250,'Privacy Analyst Evaluation'!$A$46:$F$120,2,0),""))</f>
        <v/>
      </c>
      <c r="K250" s="242" t="str">
        <f aca="false">IFERROR(VLOOKUP($I250,'Institution Evaluation'!$A$55:$F$346,3,0),IFERROR(VLOOKUP($I250,'Privacy Analyst Evaluation'!$A$46:$F$120,3,0),""))&amp;""</f>
        <v/>
      </c>
      <c r="L250" s="242" t="str">
        <f aca="false">IFERROR(VLOOKUP($I250,'Institution Evaluation'!$A$55:$F$346,4,0),IFERROR(VLOOKUP($I250,'Privacy Analyst Evaluation'!$A$46:$F$120,4,0),""))&amp;""</f>
        <v/>
      </c>
      <c r="M250" s="242" t="str">
        <f aca="false">IFERROR(VLOOKUP($I250,'Institution Evaluation'!$A$55:$F$346,6,0),IFERROR(VLOOKUP($I250,'Privacy Analyst Evaluation'!$A$46:$F$120,6,0),""))&amp;""</f>
        <v/>
      </c>
    </row>
    <row r="251" customFormat="false" ht="15" hidden="false" customHeight="false" outlineLevel="0" collapsed="false">
      <c r="A251" s="242" t="str">
        <f aca="false">IFERROR(IF($A250+1&gt;'(backend scoring)'!$T$335,"",$A250+1),"")</f>
        <v/>
      </c>
      <c r="B251" s="242" t="str">
        <f aca="false">_xlfn.XLOOKUP($A251,'(backend scoring)'!$V$2:$V$333,'(backend scoring)'!$A$2:$A$333,"")</f>
        <v/>
      </c>
      <c r="C251" s="242" t="str">
        <f aca="false">IFERROR(VLOOKUP($B251,'Institution Evaluation'!$A$55:$F$346,2,0),IFERROR(VLOOKUP($B251,'Privacy Analyst Evaluation'!$A$46:$F$120,2,0),""))&amp;""</f>
        <v/>
      </c>
      <c r="D251" s="242" t="str">
        <f aca="false">IFERROR(VLOOKUP($B251,'Institution Evaluation'!$A$55:$F$346,3,0),IFERROR(VLOOKUP($B251,'Privacy Analyst Evaluation'!$A$46:$F$120,3,0),""))&amp;""</f>
        <v/>
      </c>
      <c r="E251" s="242" t="str">
        <f aca="false">IFERROR(VLOOKUP($B251,'Institution Evaluation'!$A$55:$F$346,4,0),IFERROR(VLOOKUP($B251,'Privacy Analyst Evaluation'!$A$46:$F$120,4,0),""))&amp;""</f>
        <v/>
      </c>
      <c r="F251" s="242" t="str">
        <f aca="false">IFERROR(VLOOKUP($B251,'Institution Evaluation'!$A$55:$F$346,6,0),IFERROR(VLOOKUP($B251,'Privacy Analyst Evaluation'!$A$46:$F$120,6,0),""))&amp;""</f>
        <v/>
      </c>
      <c r="G251" s="243"/>
      <c r="H251" s="242" t="str">
        <f aca="false">IFERROR(IF($H250+1&gt;'(backend scoring)'!$Q$335,"",$H250+1),"")</f>
        <v/>
      </c>
      <c r="I251" s="242" t="str">
        <f aca="false">_xlfn.XLOOKUP($H251,'(backend scoring)'!$S$2:$S$333,'(backend scoring)'!$A$2:$A$333,"")</f>
        <v/>
      </c>
      <c r="J251" s="242" t="str">
        <f aca="false">IFERROR(VLOOKUP($I251,'Institution Evaluation'!$A$55:$F$346,2,0),IFERROR(VLOOKUP($I251,'Privacy Analyst Evaluation'!$A$46:$F$120,2,0),""))</f>
        <v/>
      </c>
      <c r="K251" s="242" t="str">
        <f aca="false">IFERROR(VLOOKUP($I251,'Institution Evaluation'!$A$55:$F$346,3,0),IFERROR(VLOOKUP($I251,'Privacy Analyst Evaluation'!$A$46:$F$120,3,0),""))&amp;""</f>
        <v/>
      </c>
      <c r="L251" s="242" t="str">
        <f aca="false">IFERROR(VLOOKUP($I251,'Institution Evaluation'!$A$55:$F$346,4,0),IFERROR(VLOOKUP($I251,'Privacy Analyst Evaluation'!$A$46:$F$120,4,0),""))&amp;""</f>
        <v/>
      </c>
      <c r="M251" s="242" t="str">
        <f aca="false">IFERROR(VLOOKUP($I251,'Institution Evaluation'!$A$55:$F$346,6,0),IFERROR(VLOOKUP($I251,'Privacy Analyst Evaluation'!$A$46:$F$120,6,0),""))&amp;""</f>
        <v/>
      </c>
    </row>
    <row r="252" customFormat="false" ht="15" hidden="false" customHeight="false" outlineLevel="0" collapsed="false">
      <c r="A252" s="242" t="str">
        <f aca="false">IFERROR(IF($A251+1&gt;'(backend scoring)'!$T$335,"",$A251+1),"")</f>
        <v/>
      </c>
      <c r="B252" s="242" t="str">
        <f aca="false">_xlfn.XLOOKUP($A252,'(backend scoring)'!$V$2:$V$333,'(backend scoring)'!$A$2:$A$333,"")</f>
        <v/>
      </c>
      <c r="C252" s="242" t="str">
        <f aca="false">IFERROR(VLOOKUP($B252,'Institution Evaluation'!$A$55:$F$346,2,0),IFERROR(VLOOKUP($B252,'Privacy Analyst Evaluation'!$A$46:$F$120,2,0),""))&amp;""</f>
        <v/>
      </c>
      <c r="D252" s="242" t="str">
        <f aca="false">IFERROR(VLOOKUP($B252,'Institution Evaluation'!$A$55:$F$346,3,0),IFERROR(VLOOKUP($B252,'Privacy Analyst Evaluation'!$A$46:$F$120,3,0),""))&amp;""</f>
        <v/>
      </c>
      <c r="E252" s="242" t="str">
        <f aca="false">IFERROR(VLOOKUP($B252,'Institution Evaluation'!$A$55:$F$346,4,0),IFERROR(VLOOKUP($B252,'Privacy Analyst Evaluation'!$A$46:$F$120,4,0),""))&amp;""</f>
        <v/>
      </c>
      <c r="F252" s="242" t="str">
        <f aca="false">IFERROR(VLOOKUP($B252,'Institution Evaluation'!$A$55:$F$346,6,0),IFERROR(VLOOKUP($B252,'Privacy Analyst Evaluation'!$A$46:$F$120,6,0),""))&amp;""</f>
        <v/>
      </c>
      <c r="G252" s="243"/>
      <c r="H252" s="242" t="str">
        <f aca="false">IFERROR(IF($H251+1&gt;'(backend scoring)'!$Q$335,"",$H251+1),"")</f>
        <v/>
      </c>
      <c r="I252" s="242" t="str">
        <f aca="false">_xlfn.XLOOKUP($H252,'(backend scoring)'!$S$2:$S$333,'(backend scoring)'!$A$2:$A$333,"")</f>
        <v/>
      </c>
      <c r="J252" s="242" t="str">
        <f aca="false">IFERROR(VLOOKUP($I252,'Institution Evaluation'!$A$55:$F$346,2,0),IFERROR(VLOOKUP($I252,'Privacy Analyst Evaluation'!$A$46:$F$120,2,0),""))</f>
        <v/>
      </c>
      <c r="K252" s="242" t="str">
        <f aca="false">IFERROR(VLOOKUP($I252,'Institution Evaluation'!$A$55:$F$346,3,0),IFERROR(VLOOKUP($I252,'Privacy Analyst Evaluation'!$A$46:$F$120,3,0),""))&amp;""</f>
        <v/>
      </c>
      <c r="L252" s="242" t="str">
        <f aca="false">IFERROR(VLOOKUP($I252,'Institution Evaluation'!$A$55:$F$346,4,0),IFERROR(VLOOKUP($I252,'Privacy Analyst Evaluation'!$A$46:$F$120,4,0),""))&amp;""</f>
        <v/>
      </c>
      <c r="M252" s="242" t="str">
        <f aca="false">IFERROR(VLOOKUP($I252,'Institution Evaluation'!$A$55:$F$346,6,0),IFERROR(VLOOKUP($I252,'Privacy Analyst Evaluation'!$A$46:$F$120,6,0),""))&amp;""</f>
        <v/>
      </c>
    </row>
    <row r="253" customFormat="false" ht="15" hidden="false" customHeight="false" outlineLevel="0" collapsed="false">
      <c r="A253" s="242" t="str">
        <f aca="false">IFERROR(IF($A252+1&gt;'(backend scoring)'!$T$335,"",$A252+1),"")</f>
        <v/>
      </c>
      <c r="B253" s="242" t="str">
        <f aca="false">_xlfn.XLOOKUP($A253,'(backend scoring)'!$V$2:$V$333,'(backend scoring)'!$A$2:$A$333,"")</f>
        <v/>
      </c>
      <c r="C253" s="242" t="str">
        <f aca="false">IFERROR(VLOOKUP($B253,'Institution Evaluation'!$A$55:$F$346,2,0),IFERROR(VLOOKUP($B253,'Privacy Analyst Evaluation'!$A$46:$F$120,2,0),""))&amp;""</f>
        <v/>
      </c>
      <c r="D253" s="242" t="str">
        <f aca="false">IFERROR(VLOOKUP($B253,'Institution Evaluation'!$A$55:$F$346,3,0),IFERROR(VLOOKUP($B253,'Privacy Analyst Evaluation'!$A$46:$F$120,3,0),""))&amp;""</f>
        <v/>
      </c>
      <c r="E253" s="242" t="str">
        <f aca="false">IFERROR(VLOOKUP($B253,'Institution Evaluation'!$A$55:$F$346,4,0),IFERROR(VLOOKUP($B253,'Privacy Analyst Evaluation'!$A$46:$F$120,4,0),""))&amp;""</f>
        <v/>
      </c>
      <c r="F253" s="242" t="str">
        <f aca="false">IFERROR(VLOOKUP($B253,'Institution Evaluation'!$A$55:$F$346,6,0),IFERROR(VLOOKUP($B253,'Privacy Analyst Evaluation'!$A$46:$F$120,6,0),""))&amp;""</f>
        <v/>
      </c>
      <c r="G253" s="243"/>
      <c r="H253" s="242" t="str">
        <f aca="false">IFERROR(IF($H252+1&gt;'(backend scoring)'!$Q$335,"",$H252+1),"")</f>
        <v/>
      </c>
      <c r="I253" s="242" t="str">
        <f aca="false">_xlfn.XLOOKUP($H253,'(backend scoring)'!$S$2:$S$333,'(backend scoring)'!$A$2:$A$333,"")</f>
        <v/>
      </c>
      <c r="J253" s="242" t="str">
        <f aca="false">IFERROR(VLOOKUP($I253,'Institution Evaluation'!$A$55:$F$346,2,0),IFERROR(VLOOKUP($I253,'Privacy Analyst Evaluation'!$A$46:$F$120,2,0),""))</f>
        <v/>
      </c>
      <c r="K253" s="242" t="str">
        <f aca="false">IFERROR(VLOOKUP($I253,'Institution Evaluation'!$A$55:$F$346,3,0),IFERROR(VLOOKUP($I253,'Privacy Analyst Evaluation'!$A$46:$F$120,3,0),""))&amp;""</f>
        <v/>
      </c>
      <c r="L253" s="242" t="str">
        <f aca="false">IFERROR(VLOOKUP($I253,'Institution Evaluation'!$A$55:$F$346,4,0),IFERROR(VLOOKUP($I253,'Privacy Analyst Evaluation'!$A$46:$F$120,4,0),""))&amp;""</f>
        <v/>
      </c>
      <c r="M253" s="242" t="str">
        <f aca="false">IFERROR(VLOOKUP($I253,'Institution Evaluation'!$A$55:$F$346,6,0),IFERROR(VLOOKUP($I253,'Privacy Analyst Evaluation'!$A$46:$F$120,6,0),""))&amp;""</f>
        <v/>
      </c>
    </row>
    <row r="254" customFormat="false" ht="15" hidden="false" customHeight="false" outlineLevel="0" collapsed="false">
      <c r="A254" s="242" t="str">
        <f aca="false">IFERROR(IF($A253+1&gt;'(backend scoring)'!$T$335,"",$A253+1),"")</f>
        <v/>
      </c>
      <c r="B254" s="242" t="str">
        <f aca="false">_xlfn.XLOOKUP($A254,'(backend scoring)'!$V$2:$V$333,'(backend scoring)'!$A$2:$A$333,"")</f>
        <v/>
      </c>
      <c r="C254" s="242" t="str">
        <f aca="false">IFERROR(VLOOKUP($B254,'Institution Evaluation'!$A$55:$F$346,2,0),IFERROR(VLOOKUP($B254,'Privacy Analyst Evaluation'!$A$46:$F$120,2,0),""))&amp;""</f>
        <v/>
      </c>
      <c r="D254" s="242" t="str">
        <f aca="false">IFERROR(VLOOKUP($B254,'Institution Evaluation'!$A$55:$F$346,3,0),IFERROR(VLOOKUP($B254,'Privacy Analyst Evaluation'!$A$46:$F$120,3,0),""))&amp;""</f>
        <v/>
      </c>
      <c r="E254" s="242" t="str">
        <f aca="false">IFERROR(VLOOKUP($B254,'Institution Evaluation'!$A$55:$F$346,4,0),IFERROR(VLOOKUP($B254,'Privacy Analyst Evaluation'!$A$46:$F$120,4,0),""))&amp;""</f>
        <v/>
      </c>
      <c r="F254" s="242" t="str">
        <f aca="false">IFERROR(VLOOKUP($B254,'Institution Evaluation'!$A$55:$F$346,6,0),IFERROR(VLOOKUP($B254,'Privacy Analyst Evaluation'!$A$46:$F$120,6,0),""))&amp;""</f>
        <v/>
      </c>
      <c r="G254" s="243"/>
      <c r="H254" s="242" t="str">
        <f aca="false">IFERROR(IF($H253+1&gt;'(backend scoring)'!$Q$335,"",$H253+1),"")</f>
        <v/>
      </c>
      <c r="I254" s="242" t="str">
        <f aca="false">_xlfn.XLOOKUP($H254,'(backend scoring)'!$S$2:$S$333,'(backend scoring)'!$A$2:$A$333,"")</f>
        <v/>
      </c>
      <c r="J254" s="242" t="str">
        <f aca="false">IFERROR(VLOOKUP($I254,'Institution Evaluation'!$A$55:$F$346,2,0),IFERROR(VLOOKUP($I254,'Privacy Analyst Evaluation'!$A$46:$F$120,2,0),""))</f>
        <v/>
      </c>
      <c r="K254" s="242" t="str">
        <f aca="false">IFERROR(VLOOKUP($I254,'Institution Evaluation'!$A$55:$F$346,3,0),IFERROR(VLOOKUP($I254,'Privacy Analyst Evaluation'!$A$46:$F$120,3,0),""))&amp;""</f>
        <v/>
      </c>
      <c r="L254" s="242" t="str">
        <f aca="false">IFERROR(VLOOKUP($I254,'Institution Evaluation'!$A$55:$F$346,4,0),IFERROR(VLOOKUP($I254,'Privacy Analyst Evaluation'!$A$46:$F$120,4,0),""))&amp;""</f>
        <v/>
      </c>
      <c r="M254" s="242" t="str">
        <f aca="false">IFERROR(VLOOKUP($I254,'Institution Evaluation'!$A$55:$F$346,6,0),IFERROR(VLOOKUP($I254,'Privacy Analyst Evaluation'!$A$46:$F$120,6,0),""))&amp;""</f>
        <v/>
      </c>
    </row>
    <row r="255" customFormat="false" ht="15" hidden="false" customHeight="false" outlineLevel="0" collapsed="false">
      <c r="A255" s="242" t="str">
        <f aca="false">IFERROR(IF($A254+1&gt;'(backend scoring)'!$T$335,"",$A254+1),"")</f>
        <v/>
      </c>
      <c r="B255" s="242" t="str">
        <f aca="false">_xlfn.XLOOKUP($A255,'(backend scoring)'!$V$2:$V$333,'(backend scoring)'!$A$2:$A$333,"")</f>
        <v/>
      </c>
      <c r="C255" s="242" t="str">
        <f aca="false">IFERROR(VLOOKUP($B255,'Institution Evaluation'!$A$55:$F$346,2,0),IFERROR(VLOOKUP($B255,'Privacy Analyst Evaluation'!$A$46:$F$120,2,0),""))&amp;""</f>
        <v/>
      </c>
      <c r="D255" s="242" t="str">
        <f aca="false">IFERROR(VLOOKUP($B255,'Institution Evaluation'!$A$55:$F$346,3,0),IFERROR(VLOOKUP($B255,'Privacy Analyst Evaluation'!$A$46:$F$120,3,0),""))&amp;""</f>
        <v/>
      </c>
      <c r="E255" s="242" t="str">
        <f aca="false">IFERROR(VLOOKUP($B255,'Institution Evaluation'!$A$55:$F$346,4,0),IFERROR(VLOOKUP($B255,'Privacy Analyst Evaluation'!$A$46:$F$120,4,0),""))&amp;""</f>
        <v/>
      </c>
      <c r="F255" s="242" t="str">
        <f aca="false">IFERROR(VLOOKUP($B255,'Institution Evaluation'!$A$55:$F$346,6,0),IFERROR(VLOOKUP($B255,'Privacy Analyst Evaluation'!$A$46:$F$120,6,0),""))&amp;""</f>
        <v/>
      </c>
      <c r="G255" s="243"/>
      <c r="H255" s="242" t="str">
        <f aca="false">IFERROR(IF($H254+1&gt;'(backend scoring)'!$Q$335,"",$H254+1),"")</f>
        <v/>
      </c>
      <c r="I255" s="242" t="str">
        <f aca="false">_xlfn.XLOOKUP($H255,'(backend scoring)'!$S$2:$S$333,'(backend scoring)'!$A$2:$A$333,"")</f>
        <v/>
      </c>
      <c r="J255" s="242" t="str">
        <f aca="false">IFERROR(VLOOKUP($I255,'Institution Evaluation'!$A$55:$F$346,2,0),IFERROR(VLOOKUP($I255,'Privacy Analyst Evaluation'!$A$46:$F$120,2,0),""))</f>
        <v/>
      </c>
      <c r="K255" s="242" t="str">
        <f aca="false">IFERROR(VLOOKUP($I255,'Institution Evaluation'!$A$55:$F$346,3,0),IFERROR(VLOOKUP($I255,'Privacy Analyst Evaluation'!$A$46:$F$120,3,0),""))&amp;""</f>
        <v/>
      </c>
      <c r="L255" s="242" t="str">
        <f aca="false">IFERROR(VLOOKUP($I255,'Institution Evaluation'!$A$55:$F$346,4,0),IFERROR(VLOOKUP($I255,'Privacy Analyst Evaluation'!$A$46:$F$120,4,0),""))&amp;""</f>
        <v/>
      </c>
      <c r="M255" s="242" t="str">
        <f aca="false">IFERROR(VLOOKUP($I255,'Institution Evaluation'!$A$55:$F$346,6,0),IFERROR(VLOOKUP($I255,'Privacy Analyst Evaluation'!$A$46:$F$120,6,0),""))&amp;""</f>
        <v/>
      </c>
    </row>
    <row r="256" customFormat="false" ht="15" hidden="false" customHeight="false" outlineLevel="0" collapsed="false">
      <c r="A256" s="242" t="str">
        <f aca="false">IFERROR(IF($A255+1&gt;'(backend scoring)'!$T$335,"",$A255+1),"")</f>
        <v/>
      </c>
      <c r="B256" s="242" t="str">
        <f aca="false">_xlfn.XLOOKUP($A256,'(backend scoring)'!$V$2:$V$333,'(backend scoring)'!$A$2:$A$333,"")</f>
        <v/>
      </c>
      <c r="C256" s="242" t="str">
        <f aca="false">IFERROR(VLOOKUP($B256,'Institution Evaluation'!$A$55:$F$346,2,0),IFERROR(VLOOKUP($B256,'Privacy Analyst Evaluation'!$A$46:$F$120,2,0),""))&amp;""</f>
        <v/>
      </c>
      <c r="D256" s="242" t="str">
        <f aca="false">IFERROR(VLOOKUP($B256,'Institution Evaluation'!$A$55:$F$346,3,0),IFERROR(VLOOKUP($B256,'Privacy Analyst Evaluation'!$A$46:$F$120,3,0),""))&amp;""</f>
        <v/>
      </c>
      <c r="E256" s="242" t="str">
        <f aca="false">IFERROR(VLOOKUP($B256,'Institution Evaluation'!$A$55:$F$346,4,0),IFERROR(VLOOKUP($B256,'Privacy Analyst Evaluation'!$A$46:$F$120,4,0),""))&amp;""</f>
        <v/>
      </c>
      <c r="F256" s="242" t="str">
        <f aca="false">IFERROR(VLOOKUP($B256,'Institution Evaluation'!$A$55:$F$346,6,0),IFERROR(VLOOKUP($B256,'Privacy Analyst Evaluation'!$A$46:$F$120,6,0),""))&amp;""</f>
        <v/>
      </c>
      <c r="G256" s="243"/>
      <c r="H256" s="242" t="str">
        <f aca="false">IFERROR(IF($H255+1&gt;'(backend scoring)'!$Q$335,"",$H255+1),"")</f>
        <v/>
      </c>
      <c r="I256" s="242" t="str">
        <f aca="false">_xlfn.XLOOKUP($H256,'(backend scoring)'!$S$2:$S$333,'(backend scoring)'!$A$2:$A$333,"")</f>
        <v/>
      </c>
      <c r="J256" s="242" t="str">
        <f aca="false">IFERROR(VLOOKUP($I256,'Institution Evaluation'!$A$55:$F$346,2,0),IFERROR(VLOOKUP($I256,'Privacy Analyst Evaluation'!$A$46:$F$120,2,0),""))</f>
        <v/>
      </c>
      <c r="K256" s="242" t="str">
        <f aca="false">IFERROR(VLOOKUP($I256,'Institution Evaluation'!$A$55:$F$346,3,0),IFERROR(VLOOKUP($I256,'Privacy Analyst Evaluation'!$A$46:$F$120,3,0),""))&amp;""</f>
        <v/>
      </c>
      <c r="L256" s="242" t="str">
        <f aca="false">IFERROR(VLOOKUP($I256,'Institution Evaluation'!$A$55:$F$346,4,0),IFERROR(VLOOKUP($I256,'Privacy Analyst Evaluation'!$A$46:$F$120,4,0),""))&amp;""</f>
        <v/>
      </c>
      <c r="M256" s="242" t="str">
        <f aca="false">IFERROR(VLOOKUP($I256,'Institution Evaluation'!$A$55:$F$346,6,0),IFERROR(VLOOKUP($I256,'Privacy Analyst Evaluation'!$A$46:$F$120,6,0),""))&amp;""</f>
        <v/>
      </c>
    </row>
    <row r="257" customFormat="false" ht="15" hidden="false" customHeight="false" outlineLevel="0" collapsed="false">
      <c r="A257" s="242" t="str">
        <f aca="false">IFERROR(IF($A256+1&gt;'(backend scoring)'!$T$335,"",$A256+1),"")</f>
        <v/>
      </c>
      <c r="B257" s="242" t="str">
        <f aca="false">_xlfn.XLOOKUP($A257,'(backend scoring)'!$V$2:$V$333,'(backend scoring)'!$A$2:$A$333,"")</f>
        <v/>
      </c>
      <c r="C257" s="242" t="str">
        <f aca="false">IFERROR(VLOOKUP($B257,'Institution Evaluation'!$A$55:$F$346,2,0),IFERROR(VLOOKUP($B257,'Privacy Analyst Evaluation'!$A$46:$F$120,2,0),""))&amp;""</f>
        <v/>
      </c>
      <c r="D257" s="242" t="str">
        <f aca="false">IFERROR(VLOOKUP($B257,'Institution Evaluation'!$A$55:$F$346,3,0),IFERROR(VLOOKUP($B257,'Privacy Analyst Evaluation'!$A$46:$F$120,3,0),""))&amp;""</f>
        <v/>
      </c>
      <c r="E257" s="242" t="str">
        <f aca="false">IFERROR(VLOOKUP($B257,'Institution Evaluation'!$A$55:$F$346,4,0),IFERROR(VLOOKUP($B257,'Privacy Analyst Evaluation'!$A$46:$F$120,4,0),""))&amp;""</f>
        <v/>
      </c>
      <c r="F257" s="242" t="str">
        <f aca="false">IFERROR(VLOOKUP($B257,'Institution Evaluation'!$A$55:$F$346,6,0),IFERROR(VLOOKUP($B257,'Privacy Analyst Evaluation'!$A$46:$F$120,6,0),""))&amp;""</f>
        <v/>
      </c>
      <c r="G257" s="243"/>
      <c r="H257" s="242" t="str">
        <f aca="false">IFERROR(IF($H256+1&gt;'(backend scoring)'!$Q$335,"",$H256+1),"")</f>
        <v/>
      </c>
      <c r="I257" s="242" t="str">
        <f aca="false">_xlfn.XLOOKUP($H257,'(backend scoring)'!$S$2:$S$333,'(backend scoring)'!$A$2:$A$333,"")</f>
        <v/>
      </c>
      <c r="J257" s="242" t="str">
        <f aca="false">IFERROR(VLOOKUP($I257,'Institution Evaluation'!$A$55:$F$346,2,0),IFERROR(VLOOKUP($I257,'Privacy Analyst Evaluation'!$A$46:$F$120,2,0),""))</f>
        <v/>
      </c>
      <c r="K257" s="242" t="str">
        <f aca="false">IFERROR(VLOOKUP($I257,'Institution Evaluation'!$A$55:$F$346,3,0),IFERROR(VLOOKUP($I257,'Privacy Analyst Evaluation'!$A$46:$F$120,3,0),""))&amp;""</f>
        <v/>
      </c>
      <c r="L257" s="242" t="str">
        <f aca="false">IFERROR(VLOOKUP($I257,'Institution Evaluation'!$A$55:$F$346,4,0),IFERROR(VLOOKUP($I257,'Privacy Analyst Evaluation'!$A$46:$F$120,4,0),""))&amp;""</f>
        <v/>
      </c>
      <c r="M257" s="242" t="str">
        <f aca="false">IFERROR(VLOOKUP($I257,'Institution Evaluation'!$A$55:$F$346,6,0),IFERROR(VLOOKUP($I257,'Privacy Analyst Evaluation'!$A$46:$F$120,6,0),""))&amp;""</f>
        <v/>
      </c>
    </row>
    <row r="258" customFormat="false" ht="15" hidden="false" customHeight="false" outlineLevel="0" collapsed="false">
      <c r="A258" s="242" t="str">
        <f aca="false">IFERROR(IF($A257+1&gt;'(backend scoring)'!$T$335,"",$A257+1),"")</f>
        <v/>
      </c>
      <c r="B258" s="242" t="str">
        <f aca="false">_xlfn.XLOOKUP($A258,'(backend scoring)'!$V$2:$V$333,'(backend scoring)'!$A$2:$A$333,"")</f>
        <v/>
      </c>
      <c r="C258" s="242" t="str">
        <f aca="false">IFERROR(VLOOKUP($B258,'Institution Evaluation'!$A$55:$F$346,2,0),IFERROR(VLOOKUP($B258,'Privacy Analyst Evaluation'!$A$46:$F$120,2,0),""))&amp;""</f>
        <v/>
      </c>
      <c r="D258" s="242" t="str">
        <f aca="false">IFERROR(VLOOKUP($B258,'Institution Evaluation'!$A$55:$F$346,3,0),IFERROR(VLOOKUP($B258,'Privacy Analyst Evaluation'!$A$46:$F$120,3,0),""))&amp;""</f>
        <v/>
      </c>
      <c r="E258" s="242" t="str">
        <f aca="false">IFERROR(VLOOKUP($B258,'Institution Evaluation'!$A$55:$F$346,4,0),IFERROR(VLOOKUP($B258,'Privacy Analyst Evaluation'!$A$46:$F$120,4,0),""))&amp;""</f>
        <v/>
      </c>
      <c r="F258" s="242" t="str">
        <f aca="false">IFERROR(VLOOKUP($B258,'Institution Evaluation'!$A$55:$F$346,6,0),IFERROR(VLOOKUP($B258,'Privacy Analyst Evaluation'!$A$46:$F$120,6,0),""))&amp;""</f>
        <v/>
      </c>
      <c r="G258" s="243"/>
      <c r="H258" s="242" t="str">
        <f aca="false">IFERROR(IF($H257+1&gt;'(backend scoring)'!$Q$335,"",$H257+1),"")</f>
        <v/>
      </c>
      <c r="I258" s="242" t="str">
        <f aca="false">_xlfn.XLOOKUP($H258,'(backend scoring)'!$S$2:$S$333,'(backend scoring)'!$A$2:$A$333,"")</f>
        <v/>
      </c>
      <c r="J258" s="242" t="str">
        <f aca="false">IFERROR(VLOOKUP($I258,'Institution Evaluation'!$A$55:$F$346,2,0),IFERROR(VLOOKUP($I258,'Privacy Analyst Evaluation'!$A$46:$F$120,2,0),""))</f>
        <v/>
      </c>
      <c r="K258" s="242" t="str">
        <f aca="false">IFERROR(VLOOKUP($I258,'Institution Evaluation'!$A$55:$F$346,3,0),IFERROR(VLOOKUP($I258,'Privacy Analyst Evaluation'!$A$46:$F$120,3,0),""))&amp;""</f>
        <v/>
      </c>
      <c r="L258" s="242" t="str">
        <f aca="false">IFERROR(VLOOKUP($I258,'Institution Evaluation'!$A$55:$F$346,4,0),IFERROR(VLOOKUP($I258,'Privacy Analyst Evaluation'!$A$46:$F$120,4,0),""))&amp;""</f>
        <v/>
      </c>
      <c r="M258" s="242" t="str">
        <f aca="false">IFERROR(VLOOKUP($I258,'Institution Evaluation'!$A$55:$F$346,6,0),IFERROR(VLOOKUP($I258,'Privacy Analyst Evaluation'!$A$46:$F$120,6,0),""))&amp;""</f>
        <v/>
      </c>
    </row>
    <row r="259" customFormat="false" ht="15" hidden="false" customHeight="false" outlineLevel="0" collapsed="false">
      <c r="A259" s="242" t="str">
        <f aca="false">IFERROR(IF($A258+1&gt;'(backend scoring)'!$T$335,"",$A258+1),"")</f>
        <v/>
      </c>
      <c r="B259" s="242" t="str">
        <f aca="false">_xlfn.XLOOKUP($A259,'(backend scoring)'!$V$2:$V$333,'(backend scoring)'!$A$2:$A$333,"")</f>
        <v/>
      </c>
      <c r="C259" s="242" t="str">
        <f aca="false">IFERROR(VLOOKUP($B259,'Institution Evaluation'!$A$55:$F$346,2,0),IFERROR(VLOOKUP($B259,'Privacy Analyst Evaluation'!$A$46:$F$120,2,0),""))&amp;""</f>
        <v/>
      </c>
      <c r="D259" s="242" t="str">
        <f aca="false">IFERROR(VLOOKUP($B259,'Institution Evaluation'!$A$55:$F$346,3,0),IFERROR(VLOOKUP($B259,'Privacy Analyst Evaluation'!$A$46:$F$120,3,0),""))&amp;""</f>
        <v/>
      </c>
      <c r="E259" s="242" t="str">
        <f aca="false">IFERROR(VLOOKUP($B259,'Institution Evaluation'!$A$55:$F$346,4,0),IFERROR(VLOOKUP($B259,'Privacy Analyst Evaluation'!$A$46:$F$120,4,0),""))&amp;""</f>
        <v/>
      </c>
      <c r="F259" s="242" t="str">
        <f aca="false">IFERROR(VLOOKUP($B259,'Institution Evaluation'!$A$55:$F$346,6,0),IFERROR(VLOOKUP($B259,'Privacy Analyst Evaluation'!$A$46:$F$120,6,0),""))&amp;""</f>
        <v/>
      </c>
      <c r="G259" s="243"/>
      <c r="H259" s="242" t="str">
        <f aca="false">IFERROR(IF($H258+1&gt;'(backend scoring)'!$Q$335,"",$H258+1),"")</f>
        <v/>
      </c>
      <c r="I259" s="242" t="str">
        <f aca="false">_xlfn.XLOOKUP($H259,'(backend scoring)'!$S$2:$S$333,'(backend scoring)'!$A$2:$A$333,"")</f>
        <v/>
      </c>
      <c r="J259" s="242" t="str">
        <f aca="false">IFERROR(VLOOKUP($I259,'Institution Evaluation'!$A$55:$F$346,2,0),IFERROR(VLOOKUP($I259,'Privacy Analyst Evaluation'!$A$46:$F$120,2,0),""))</f>
        <v/>
      </c>
      <c r="K259" s="242" t="str">
        <f aca="false">IFERROR(VLOOKUP($I259,'Institution Evaluation'!$A$55:$F$346,3,0),IFERROR(VLOOKUP($I259,'Privacy Analyst Evaluation'!$A$46:$F$120,3,0),""))&amp;""</f>
        <v/>
      </c>
      <c r="L259" s="242" t="str">
        <f aca="false">IFERROR(VLOOKUP($I259,'Institution Evaluation'!$A$55:$F$346,4,0),IFERROR(VLOOKUP($I259,'Privacy Analyst Evaluation'!$A$46:$F$120,4,0),""))&amp;""</f>
        <v/>
      </c>
      <c r="M259" s="242" t="str">
        <f aca="false">IFERROR(VLOOKUP($I259,'Institution Evaluation'!$A$55:$F$346,6,0),IFERROR(VLOOKUP($I259,'Privacy Analyst Evaluation'!$A$46:$F$120,6,0),""))&amp;""</f>
        <v/>
      </c>
    </row>
    <row r="260" customFormat="false" ht="15" hidden="false" customHeight="false" outlineLevel="0" collapsed="false">
      <c r="A260" s="242" t="str">
        <f aca="false">IFERROR(IF($A259+1&gt;'(backend scoring)'!$T$335,"",$A259+1),"")</f>
        <v/>
      </c>
      <c r="B260" s="242" t="str">
        <f aca="false">_xlfn.XLOOKUP($A260,'(backend scoring)'!$V$2:$V$333,'(backend scoring)'!$A$2:$A$333,"")</f>
        <v/>
      </c>
      <c r="C260" s="242" t="str">
        <f aca="false">IFERROR(VLOOKUP($B260,'Institution Evaluation'!$A$55:$F$346,2,0),IFERROR(VLOOKUP($B260,'Privacy Analyst Evaluation'!$A$46:$F$120,2,0),""))&amp;""</f>
        <v/>
      </c>
      <c r="D260" s="242" t="str">
        <f aca="false">IFERROR(VLOOKUP($B260,'Institution Evaluation'!$A$55:$F$346,3,0),IFERROR(VLOOKUP($B260,'Privacy Analyst Evaluation'!$A$46:$F$120,3,0),""))&amp;""</f>
        <v/>
      </c>
      <c r="E260" s="242" t="str">
        <f aca="false">IFERROR(VLOOKUP($B260,'Institution Evaluation'!$A$55:$F$346,4,0),IFERROR(VLOOKUP($B260,'Privacy Analyst Evaluation'!$A$46:$F$120,4,0),""))&amp;""</f>
        <v/>
      </c>
      <c r="F260" s="242" t="str">
        <f aca="false">IFERROR(VLOOKUP($B260,'Institution Evaluation'!$A$55:$F$346,6,0),IFERROR(VLOOKUP($B260,'Privacy Analyst Evaluation'!$A$46:$F$120,6,0),""))&amp;""</f>
        <v/>
      </c>
      <c r="G260" s="243"/>
      <c r="H260" s="242" t="str">
        <f aca="false">IFERROR(IF($H259+1&gt;'(backend scoring)'!$Q$335,"",$H259+1),"")</f>
        <v/>
      </c>
      <c r="I260" s="242" t="str">
        <f aca="false">_xlfn.XLOOKUP($H260,'(backend scoring)'!$S$2:$S$333,'(backend scoring)'!$A$2:$A$333,"")</f>
        <v/>
      </c>
      <c r="J260" s="242" t="str">
        <f aca="false">IFERROR(VLOOKUP($I260,'Institution Evaluation'!$A$55:$F$346,2,0),IFERROR(VLOOKUP($I260,'Privacy Analyst Evaluation'!$A$46:$F$120,2,0),""))</f>
        <v/>
      </c>
      <c r="K260" s="242" t="str">
        <f aca="false">IFERROR(VLOOKUP($I260,'Institution Evaluation'!$A$55:$F$346,3,0),IFERROR(VLOOKUP($I260,'Privacy Analyst Evaluation'!$A$46:$F$120,3,0),""))&amp;""</f>
        <v/>
      </c>
      <c r="L260" s="242" t="str">
        <f aca="false">IFERROR(VLOOKUP($I260,'Institution Evaluation'!$A$55:$F$346,4,0),IFERROR(VLOOKUP($I260,'Privacy Analyst Evaluation'!$A$46:$F$120,4,0),""))&amp;""</f>
        <v/>
      </c>
      <c r="M260" s="242" t="str">
        <f aca="false">IFERROR(VLOOKUP($I260,'Institution Evaluation'!$A$55:$F$346,6,0),IFERROR(VLOOKUP($I260,'Privacy Analyst Evaluation'!$A$46:$F$120,6,0),""))&amp;""</f>
        <v/>
      </c>
    </row>
    <row r="261" customFormat="false" ht="15" hidden="false" customHeight="false" outlineLevel="0" collapsed="false">
      <c r="A261" s="242" t="str">
        <f aca="false">IFERROR(IF($A260+1&gt;'(backend scoring)'!$T$335,"",$A260+1),"")</f>
        <v/>
      </c>
      <c r="B261" s="242" t="str">
        <f aca="false">_xlfn.XLOOKUP($A261,'(backend scoring)'!$V$2:$V$333,'(backend scoring)'!$A$2:$A$333,"")</f>
        <v/>
      </c>
      <c r="C261" s="242" t="str">
        <f aca="false">IFERROR(VLOOKUP($B261,'Institution Evaluation'!$A$55:$F$346,2,0),IFERROR(VLOOKUP($B261,'Privacy Analyst Evaluation'!$A$46:$F$120,2,0),""))&amp;""</f>
        <v/>
      </c>
      <c r="D261" s="242" t="str">
        <f aca="false">IFERROR(VLOOKUP($B261,'Institution Evaluation'!$A$55:$F$346,3,0),IFERROR(VLOOKUP($B261,'Privacy Analyst Evaluation'!$A$46:$F$120,3,0),""))&amp;""</f>
        <v/>
      </c>
      <c r="E261" s="242" t="str">
        <f aca="false">IFERROR(VLOOKUP($B261,'Institution Evaluation'!$A$55:$F$346,4,0),IFERROR(VLOOKUP($B261,'Privacy Analyst Evaluation'!$A$46:$F$120,4,0),""))&amp;""</f>
        <v/>
      </c>
      <c r="F261" s="242" t="str">
        <f aca="false">IFERROR(VLOOKUP($B261,'Institution Evaluation'!$A$55:$F$346,6,0),IFERROR(VLOOKUP($B261,'Privacy Analyst Evaluation'!$A$46:$F$120,6,0),""))&amp;""</f>
        <v/>
      </c>
      <c r="G261" s="243"/>
      <c r="H261" s="242" t="str">
        <f aca="false">IFERROR(IF($H260+1&gt;'(backend scoring)'!$Q$335,"",$H260+1),"")</f>
        <v/>
      </c>
      <c r="I261" s="242" t="str">
        <f aca="false">_xlfn.XLOOKUP($H261,'(backend scoring)'!$S$2:$S$333,'(backend scoring)'!$A$2:$A$333,"")</f>
        <v/>
      </c>
      <c r="J261" s="242" t="str">
        <f aca="false">IFERROR(VLOOKUP($I261,'Institution Evaluation'!$A$55:$F$346,2,0),IFERROR(VLOOKUP($I261,'Privacy Analyst Evaluation'!$A$46:$F$120,2,0),""))</f>
        <v/>
      </c>
      <c r="K261" s="242" t="str">
        <f aca="false">IFERROR(VLOOKUP($I261,'Institution Evaluation'!$A$55:$F$346,3,0),IFERROR(VLOOKUP($I261,'Privacy Analyst Evaluation'!$A$46:$F$120,3,0),""))&amp;""</f>
        <v/>
      </c>
      <c r="L261" s="242" t="str">
        <f aca="false">IFERROR(VLOOKUP($I261,'Institution Evaluation'!$A$55:$F$346,4,0),IFERROR(VLOOKUP($I261,'Privacy Analyst Evaluation'!$A$46:$F$120,4,0),""))&amp;""</f>
        <v/>
      </c>
      <c r="M261" s="242" t="str">
        <f aca="false">IFERROR(VLOOKUP($I261,'Institution Evaluation'!$A$55:$F$346,6,0),IFERROR(VLOOKUP($I261,'Privacy Analyst Evaluation'!$A$46:$F$120,6,0),""))&amp;""</f>
        <v/>
      </c>
    </row>
    <row r="262" customFormat="false" ht="15" hidden="false" customHeight="false" outlineLevel="0" collapsed="false">
      <c r="A262" s="242" t="str">
        <f aca="false">IFERROR(IF($A261+1&gt;'(backend scoring)'!$T$335,"",$A261+1),"")</f>
        <v/>
      </c>
      <c r="B262" s="242" t="str">
        <f aca="false">_xlfn.XLOOKUP($A262,'(backend scoring)'!$V$2:$V$333,'(backend scoring)'!$A$2:$A$333,"")</f>
        <v/>
      </c>
      <c r="C262" s="242" t="str">
        <f aca="false">IFERROR(VLOOKUP($B262,'Institution Evaluation'!$A$55:$F$346,2,0),IFERROR(VLOOKUP($B262,'Privacy Analyst Evaluation'!$A$46:$F$120,2,0),""))&amp;""</f>
        <v/>
      </c>
      <c r="D262" s="242" t="str">
        <f aca="false">IFERROR(VLOOKUP($B262,'Institution Evaluation'!$A$55:$F$346,3,0),IFERROR(VLOOKUP($B262,'Privacy Analyst Evaluation'!$A$46:$F$120,3,0),""))&amp;""</f>
        <v/>
      </c>
      <c r="E262" s="242" t="str">
        <f aca="false">IFERROR(VLOOKUP($B262,'Institution Evaluation'!$A$55:$F$346,4,0),IFERROR(VLOOKUP($B262,'Privacy Analyst Evaluation'!$A$46:$F$120,4,0),""))&amp;""</f>
        <v/>
      </c>
      <c r="F262" s="242" t="str">
        <f aca="false">IFERROR(VLOOKUP($B262,'Institution Evaluation'!$A$55:$F$346,6,0),IFERROR(VLOOKUP($B262,'Privacy Analyst Evaluation'!$A$46:$F$120,6,0),""))&amp;""</f>
        <v/>
      </c>
      <c r="G262" s="243"/>
      <c r="H262" s="242" t="str">
        <f aca="false">IFERROR(IF($H261+1&gt;'(backend scoring)'!$Q$335,"",$H261+1),"")</f>
        <v/>
      </c>
      <c r="I262" s="242" t="str">
        <f aca="false">_xlfn.XLOOKUP($H262,'(backend scoring)'!$S$2:$S$333,'(backend scoring)'!$A$2:$A$333,"")</f>
        <v/>
      </c>
      <c r="J262" s="242" t="str">
        <f aca="false">IFERROR(VLOOKUP($I262,'Institution Evaluation'!$A$55:$F$346,2,0),IFERROR(VLOOKUP($I262,'Privacy Analyst Evaluation'!$A$46:$F$120,2,0),""))</f>
        <v/>
      </c>
      <c r="K262" s="242" t="str">
        <f aca="false">IFERROR(VLOOKUP($I262,'Institution Evaluation'!$A$55:$F$346,3,0),IFERROR(VLOOKUP($I262,'Privacy Analyst Evaluation'!$A$46:$F$120,3,0),""))&amp;""</f>
        <v/>
      </c>
      <c r="L262" s="242" t="str">
        <f aca="false">IFERROR(VLOOKUP($I262,'Institution Evaluation'!$A$55:$F$346,4,0),IFERROR(VLOOKUP($I262,'Privacy Analyst Evaluation'!$A$46:$F$120,4,0),""))&amp;""</f>
        <v/>
      </c>
      <c r="M262" s="242" t="str">
        <f aca="false">IFERROR(VLOOKUP($I262,'Institution Evaluation'!$A$55:$F$346,6,0),IFERROR(VLOOKUP($I262,'Privacy Analyst Evaluation'!$A$46:$F$120,6,0),""))&amp;""</f>
        <v/>
      </c>
    </row>
    <row r="263" customFormat="false" ht="15" hidden="false" customHeight="false" outlineLevel="0" collapsed="false">
      <c r="A263" s="242" t="str">
        <f aca="false">IFERROR(IF($A262+1&gt;'(backend scoring)'!$T$335,"",$A262+1),"")</f>
        <v/>
      </c>
      <c r="B263" s="242" t="str">
        <f aca="false">_xlfn.XLOOKUP($A263,'(backend scoring)'!$V$2:$V$333,'(backend scoring)'!$A$2:$A$333,"")</f>
        <v/>
      </c>
      <c r="C263" s="242" t="str">
        <f aca="false">IFERROR(VLOOKUP($B263,'Institution Evaluation'!$A$55:$F$346,2,0),IFERROR(VLOOKUP($B263,'Privacy Analyst Evaluation'!$A$46:$F$120,2,0),""))&amp;""</f>
        <v/>
      </c>
      <c r="D263" s="242" t="str">
        <f aca="false">IFERROR(VLOOKUP($B263,'Institution Evaluation'!$A$55:$F$346,3,0),IFERROR(VLOOKUP($B263,'Privacy Analyst Evaluation'!$A$46:$F$120,3,0),""))&amp;""</f>
        <v/>
      </c>
      <c r="E263" s="242" t="str">
        <f aca="false">IFERROR(VLOOKUP($B263,'Institution Evaluation'!$A$55:$F$346,4,0),IFERROR(VLOOKUP($B263,'Privacy Analyst Evaluation'!$A$46:$F$120,4,0),""))&amp;""</f>
        <v/>
      </c>
      <c r="F263" s="242" t="str">
        <f aca="false">IFERROR(VLOOKUP($B263,'Institution Evaluation'!$A$55:$F$346,6,0),IFERROR(VLOOKUP($B263,'Privacy Analyst Evaluation'!$A$46:$F$120,6,0),""))&amp;""</f>
        <v/>
      </c>
      <c r="G263" s="243"/>
      <c r="H263" s="242" t="str">
        <f aca="false">IFERROR(IF($H262+1&gt;'(backend scoring)'!$Q$335,"",$H262+1),"")</f>
        <v/>
      </c>
      <c r="I263" s="242" t="str">
        <f aca="false">_xlfn.XLOOKUP($H263,'(backend scoring)'!$S$2:$S$333,'(backend scoring)'!$A$2:$A$333,"")</f>
        <v/>
      </c>
      <c r="J263" s="242" t="str">
        <f aca="false">IFERROR(VLOOKUP($I263,'Institution Evaluation'!$A$55:$F$346,2,0),IFERROR(VLOOKUP($I263,'Privacy Analyst Evaluation'!$A$46:$F$120,2,0),""))</f>
        <v/>
      </c>
      <c r="K263" s="242" t="str">
        <f aca="false">IFERROR(VLOOKUP($I263,'Institution Evaluation'!$A$55:$F$346,3,0),IFERROR(VLOOKUP($I263,'Privacy Analyst Evaluation'!$A$46:$F$120,3,0),""))&amp;""</f>
        <v/>
      </c>
      <c r="L263" s="242" t="str">
        <f aca="false">IFERROR(VLOOKUP($I263,'Institution Evaluation'!$A$55:$F$346,4,0),IFERROR(VLOOKUP($I263,'Privacy Analyst Evaluation'!$A$46:$F$120,4,0),""))&amp;""</f>
        <v/>
      </c>
      <c r="M263" s="242" t="str">
        <f aca="false">IFERROR(VLOOKUP($I263,'Institution Evaluation'!$A$55:$F$346,6,0),IFERROR(VLOOKUP($I263,'Privacy Analyst Evaluation'!$A$46:$F$120,6,0),""))&amp;""</f>
        <v/>
      </c>
    </row>
    <row r="264" customFormat="false" ht="15" hidden="false" customHeight="false" outlineLevel="0" collapsed="false">
      <c r="A264" s="242" t="str">
        <f aca="false">IFERROR(IF($A263+1&gt;'(backend scoring)'!$T$335,"",$A263+1),"")</f>
        <v/>
      </c>
      <c r="B264" s="242" t="str">
        <f aca="false">_xlfn.XLOOKUP($A264,'(backend scoring)'!$V$2:$V$333,'(backend scoring)'!$A$2:$A$333,"")</f>
        <v/>
      </c>
      <c r="C264" s="242" t="str">
        <f aca="false">IFERROR(VLOOKUP($B264,'Institution Evaluation'!$A$55:$F$346,2,0),IFERROR(VLOOKUP($B264,'Privacy Analyst Evaluation'!$A$46:$F$120,2,0),""))&amp;""</f>
        <v/>
      </c>
      <c r="D264" s="242" t="str">
        <f aca="false">IFERROR(VLOOKUP($B264,'Institution Evaluation'!$A$55:$F$346,3,0),IFERROR(VLOOKUP($B264,'Privacy Analyst Evaluation'!$A$46:$F$120,3,0),""))&amp;""</f>
        <v/>
      </c>
      <c r="E264" s="242" t="str">
        <f aca="false">IFERROR(VLOOKUP($B264,'Institution Evaluation'!$A$55:$F$346,4,0),IFERROR(VLOOKUP($B264,'Privacy Analyst Evaluation'!$A$46:$F$120,4,0),""))&amp;""</f>
        <v/>
      </c>
      <c r="F264" s="242" t="str">
        <f aca="false">IFERROR(VLOOKUP($B264,'Institution Evaluation'!$A$55:$F$346,6,0),IFERROR(VLOOKUP($B264,'Privacy Analyst Evaluation'!$A$46:$F$120,6,0),""))&amp;""</f>
        <v/>
      </c>
      <c r="G264" s="243"/>
      <c r="H264" s="242" t="str">
        <f aca="false">IFERROR(IF($H263+1&gt;'(backend scoring)'!$Q$335,"",$H263+1),"")</f>
        <v/>
      </c>
      <c r="I264" s="242" t="str">
        <f aca="false">_xlfn.XLOOKUP($H264,'(backend scoring)'!$S$2:$S$333,'(backend scoring)'!$A$2:$A$333,"")</f>
        <v/>
      </c>
      <c r="J264" s="242" t="str">
        <f aca="false">IFERROR(VLOOKUP($I264,'Institution Evaluation'!$A$55:$F$346,2,0),IFERROR(VLOOKUP($I264,'Privacy Analyst Evaluation'!$A$46:$F$120,2,0),""))</f>
        <v/>
      </c>
      <c r="K264" s="242" t="str">
        <f aca="false">IFERROR(VLOOKUP($I264,'Institution Evaluation'!$A$55:$F$346,3,0),IFERROR(VLOOKUP($I264,'Privacy Analyst Evaluation'!$A$46:$F$120,3,0),""))&amp;""</f>
        <v/>
      </c>
      <c r="L264" s="242" t="str">
        <f aca="false">IFERROR(VLOOKUP($I264,'Institution Evaluation'!$A$55:$F$346,4,0),IFERROR(VLOOKUP($I264,'Privacy Analyst Evaluation'!$A$46:$F$120,4,0),""))&amp;""</f>
        <v/>
      </c>
      <c r="M264" s="242" t="str">
        <f aca="false">IFERROR(VLOOKUP($I264,'Institution Evaluation'!$A$55:$F$346,6,0),IFERROR(VLOOKUP($I264,'Privacy Analyst Evaluation'!$A$46:$F$120,6,0),""))&amp;""</f>
        <v/>
      </c>
    </row>
    <row r="265" customFormat="false" ht="15" hidden="false" customHeight="false" outlineLevel="0" collapsed="false">
      <c r="A265" s="242" t="str">
        <f aca="false">IFERROR(IF($A264+1&gt;'(backend scoring)'!$T$335,"",$A264+1),"")</f>
        <v/>
      </c>
      <c r="B265" s="242" t="str">
        <f aca="false">_xlfn.XLOOKUP($A265,'(backend scoring)'!$V$2:$V$333,'(backend scoring)'!$A$2:$A$333,"")</f>
        <v/>
      </c>
      <c r="C265" s="242" t="str">
        <f aca="false">IFERROR(VLOOKUP($B265,'Institution Evaluation'!$A$55:$F$346,2,0),IFERROR(VLOOKUP($B265,'Privacy Analyst Evaluation'!$A$46:$F$120,2,0),""))&amp;""</f>
        <v/>
      </c>
      <c r="D265" s="242" t="str">
        <f aca="false">IFERROR(VLOOKUP($B265,'Institution Evaluation'!$A$55:$F$346,3,0),IFERROR(VLOOKUP($B265,'Privacy Analyst Evaluation'!$A$46:$F$120,3,0),""))&amp;""</f>
        <v/>
      </c>
      <c r="E265" s="242" t="str">
        <f aca="false">IFERROR(VLOOKUP($B265,'Institution Evaluation'!$A$55:$F$346,4,0),IFERROR(VLOOKUP($B265,'Privacy Analyst Evaluation'!$A$46:$F$120,4,0),""))&amp;""</f>
        <v/>
      </c>
      <c r="F265" s="242" t="str">
        <f aca="false">IFERROR(VLOOKUP($B265,'Institution Evaluation'!$A$55:$F$346,6,0),IFERROR(VLOOKUP($B265,'Privacy Analyst Evaluation'!$A$46:$F$120,6,0),""))&amp;""</f>
        <v/>
      </c>
      <c r="G265" s="243"/>
      <c r="H265" s="242" t="str">
        <f aca="false">IFERROR(IF($H264+1&gt;'(backend scoring)'!$Q$335,"",$H264+1),"")</f>
        <v/>
      </c>
      <c r="I265" s="242" t="str">
        <f aca="false">_xlfn.XLOOKUP($H265,'(backend scoring)'!$S$2:$S$333,'(backend scoring)'!$A$2:$A$333,"")</f>
        <v/>
      </c>
      <c r="J265" s="242" t="str">
        <f aca="false">IFERROR(VLOOKUP($I265,'Institution Evaluation'!$A$55:$F$346,2,0),IFERROR(VLOOKUP($I265,'Privacy Analyst Evaluation'!$A$46:$F$120,2,0),""))</f>
        <v/>
      </c>
      <c r="K265" s="242" t="str">
        <f aca="false">IFERROR(VLOOKUP($I265,'Institution Evaluation'!$A$55:$F$346,3,0),IFERROR(VLOOKUP($I265,'Privacy Analyst Evaluation'!$A$46:$F$120,3,0),""))&amp;""</f>
        <v/>
      </c>
      <c r="L265" s="242" t="str">
        <f aca="false">IFERROR(VLOOKUP($I265,'Institution Evaluation'!$A$55:$F$346,4,0),IFERROR(VLOOKUP($I265,'Privacy Analyst Evaluation'!$A$46:$F$120,4,0),""))&amp;""</f>
        <v/>
      </c>
      <c r="M265" s="242" t="str">
        <f aca="false">IFERROR(VLOOKUP($I265,'Institution Evaluation'!$A$55:$F$346,6,0),IFERROR(VLOOKUP($I265,'Privacy Analyst Evaluation'!$A$46:$F$120,6,0),""))&amp;""</f>
        <v/>
      </c>
    </row>
    <row r="266" customFormat="false" ht="15" hidden="false" customHeight="false" outlineLevel="0" collapsed="false">
      <c r="A266" s="242" t="str">
        <f aca="false">IFERROR(IF($A265+1&gt;'(backend scoring)'!$T$335,"",$A265+1),"")</f>
        <v/>
      </c>
      <c r="B266" s="242" t="str">
        <f aca="false">_xlfn.XLOOKUP($A266,'(backend scoring)'!$V$2:$V$333,'(backend scoring)'!$A$2:$A$333,"")</f>
        <v/>
      </c>
      <c r="C266" s="242" t="str">
        <f aca="false">IFERROR(VLOOKUP($B266,'Institution Evaluation'!$A$55:$F$346,2,0),IFERROR(VLOOKUP($B266,'Privacy Analyst Evaluation'!$A$46:$F$120,2,0),""))&amp;""</f>
        <v/>
      </c>
      <c r="D266" s="242" t="str">
        <f aca="false">IFERROR(VLOOKUP($B266,'Institution Evaluation'!$A$55:$F$346,3,0),IFERROR(VLOOKUP($B266,'Privacy Analyst Evaluation'!$A$46:$F$120,3,0),""))&amp;""</f>
        <v/>
      </c>
      <c r="E266" s="242" t="str">
        <f aca="false">IFERROR(VLOOKUP($B266,'Institution Evaluation'!$A$55:$F$346,4,0),IFERROR(VLOOKUP($B266,'Privacy Analyst Evaluation'!$A$46:$F$120,4,0),""))&amp;""</f>
        <v/>
      </c>
      <c r="F266" s="242" t="str">
        <f aca="false">IFERROR(VLOOKUP($B266,'Institution Evaluation'!$A$55:$F$346,6,0),IFERROR(VLOOKUP($B266,'Privacy Analyst Evaluation'!$A$46:$F$120,6,0),""))&amp;""</f>
        <v/>
      </c>
      <c r="G266" s="243"/>
      <c r="H266" s="242" t="str">
        <f aca="false">IFERROR(IF($H265+1&gt;'(backend scoring)'!$Q$335,"",$H265+1),"")</f>
        <v/>
      </c>
      <c r="I266" s="242" t="str">
        <f aca="false">_xlfn.XLOOKUP($H266,'(backend scoring)'!$S$2:$S$333,'(backend scoring)'!$A$2:$A$333,"")</f>
        <v/>
      </c>
      <c r="J266" s="242" t="str">
        <f aca="false">IFERROR(VLOOKUP($I266,'Institution Evaluation'!$A$55:$F$346,2,0),IFERROR(VLOOKUP($I266,'Privacy Analyst Evaluation'!$A$46:$F$120,2,0),""))</f>
        <v/>
      </c>
      <c r="K266" s="242" t="str">
        <f aca="false">IFERROR(VLOOKUP($I266,'Institution Evaluation'!$A$55:$F$346,3,0),IFERROR(VLOOKUP($I266,'Privacy Analyst Evaluation'!$A$46:$F$120,3,0),""))&amp;""</f>
        <v/>
      </c>
      <c r="L266" s="242" t="str">
        <f aca="false">IFERROR(VLOOKUP($I266,'Institution Evaluation'!$A$55:$F$346,4,0),IFERROR(VLOOKUP($I266,'Privacy Analyst Evaluation'!$A$46:$F$120,4,0),""))&amp;""</f>
        <v/>
      </c>
      <c r="M266" s="242" t="str">
        <f aca="false">IFERROR(VLOOKUP($I266,'Institution Evaluation'!$A$55:$F$346,6,0),IFERROR(VLOOKUP($I266,'Privacy Analyst Evaluation'!$A$46:$F$120,6,0),""))&amp;""</f>
        <v/>
      </c>
    </row>
    <row r="267" customFormat="false" ht="15" hidden="false" customHeight="false" outlineLevel="0" collapsed="false">
      <c r="A267" s="242" t="str">
        <f aca="false">IFERROR(IF($A266+1&gt;'(backend scoring)'!$T$335,"",$A266+1),"")</f>
        <v/>
      </c>
      <c r="B267" s="242" t="str">
        <f aca="false">_xlfn.XLOOKUP($A267,'(backend scoring)'!$V$2:$V$333,'(backend scoring)'!$A$2:$A$333,"")</f>
        <v/>
      </c>
      <c r="C267" s="242" t="str">
        <f aca="false">IFERROR(VLOOKUP($B267,'Institution Evaluation'!$A$55:$F$346,2,0),IFERROR(VLOOKUP($B267,'Privacy Analyst Evaluation'!$A$46:$F$120,2,0),""))&amp;""</f>
        <v/>
      </c>
      <c r="D267" s="242" t="str">
        <f aca="false">IFERROR(VLOOKUP($B267,'Institution Evaluation'!$A$55:$F$346,3,0),IFERROR(VLOOKUP($B267,'Privacy Analyst Evaluation'!$A$46:$F$120,3,0),""))&amp;""</f>
        <v/>
      </c>
      <c r="E267" s="242" t="str">
        <f aca="false">IFERROR(VLOOKUP($B267,'Institution Evaluation'!$A$55:$F$346,4,0),IFERROR(VLOOKUP($B267,'Privacy Analyst Evaluation'!$A$46:$F$120,4,0),""))&amp;""</f>
        <v/>
      </c>
      <c r="F267" s="242" t="str">
        <f aca="false">IFERROR(VLOOKUP($B267,'Institution Evaluation'!$A$55:$F$346,6,0),IFERROR(VLOOKUP($B267,'Privacy Analyst Evaluation'!$A$46:$F$120,6,0),""))&amp;""</f>
        <v/>
      </c>
      <c r="G267" s="243"/>
      <c r="H267" s="242" t="str">
        <f aca="false">IFERROR(IF($H266+1&gt;'(backend scoring)'!$Q$335,"",$H266+1),"")</f>
        <v/>
      </c>
      <c r="I267" s="242" t="str">
        <f aca="false">_xlfn.XLOOKUP($H267,'(backend scoring)'!$S$2:$S$333,'(backend scoring)'!$A$2:$A$333,"")</f>
        <v/>
      </c>
      <c r="J267" s="242" t="str">
        <f aca="false">IFERROR(VLOOKUP($I267,'Institution Evaluation'!$A$55:$F$346,2,0),IFERROR(VLOOKUP($I267,'Privacy Analyst Evaluation'!$A$46:$F$120,2,0),""))</f>
        <v/>
      </c>
      <c r="K267" s="242" t="str">
        <f aca="false">IFERROR(VLOOKUP($I267,'Institution Evaluation'!$A$55:$F$346,3,0),IFERROR(VLOOKUP($I267,'Privacy Analyst Evaluation'!$A$46:$F$120,3,0),""))&amp;""</f>
        <v/>
      </c>
      <c r="L267" s="242" t="str">
        <f aca="false">IFERROR(VLOOKUP($I267,'Institution Evaluation'!$A$55:$F$346,4,0),IFERROR(VLOOKUP($I267,'Privacy Analyst Evaluation'!$A$46:$F$120,4,0),""))&amp;""</f>
        <v/>
      </c>
      <c r="M267" s="242" t="str">
        <f aca="false">IFERROR(VLOOKUP($I267,'Institution Evaluation'!$A$55:$F$346,6,0),IFERROR(VLOOKUP($I267,'Privacy Analyst Evaluation'!$A$46:$F$120,6,0),""))&amp;""</f>
        <v/>
      </c>
    </row>
    <row r="268" customFormat="false" ht="15" hidden="false" customHeight="false" outlineLevel="0" collapsed="false">
      <c r="A268" s="242" t="str">
        <f aca="false">IFERROR(IF($A267+1&gt;'(backend scoring)'!$T$335,"",$A267+1),"")</f>
        <v/>
      </c>
      <c r="B268" s="242" t="str">
        <f aca="false">_xlfn.XLOOKUP($A268,'(backend scoring)'!$V$2:$V$333,'(backend scoring)'!$A$2:$A$333,"")</f>
        <v/>
      </c>
      <c r="C268" s="242" t="str">
        <f aca="false">IFERROR(VLOOKUP($B268,'Institution Evaluation'!$A$55:$F$346,2,0),IFERROR(VLOOKUP($B268,'Privacy Analyst Evaluation'!$A$46:$F$120,2,0),""))&amp;""</f>
        <v/>
      </c>
      <c r="D268" s="242" t="str">
        <f aca="false">IFERROR(VLOOKUP($B268,'Institution Evaluation'!$A$55:$F$346,3,0),IFERROR(VLOOKUP($B268,'Privacy Analyst Evaluation'!$A$46:$F$120,3,0),""))&amp;""</f>
        <v/>
      </c>
      <c r="E268" s="242" t="str">
        <f aca="false">IFERROR(VLOOKUP($B268,'Institution Evaluation'!$A$55:$F$346,4,0),IFERROR(VLOOKUP($B268,'Privacy Analyst Evaluation'!$A$46:$F$120,4,0),""))&amp;""</f>
        <v/>
      </c>
      <c r="F268" s="242" t="str">
        <f aca="false">IFERROR(VLOOKUP($B268,'Institution Evaluation'!$A$55:$F$346,6,0),IFERROR(VLOOKUP($B268,'Privacy Analyst Evaluation'!$A$46:$F$120,6,0),""))&amp;""</f>
        <v/>
      </c>
      <c r="G268" s="243"/>
      <c r="H268" s="242" t="str">
        <f aca="false">IFERROR(IF($H267+1&gt;'(backend scoring)'!$Q$335,"",$H267+1),"")</f>
        <v/>
      </c>
      <c r="I268" s="242" t="str">
        <f aca="false">_xlfn.XLOOKUP($H268,'(backend scoring)'!$S$2:$S$333,'(backend scoring)'!$A$2:$A$333,"")</f>
        <v/>
      </c>
      <c r="J268" s="242" t="str">
        <f aca="false">IFERROR(VLOOKUP($I268,'Institution Evaluation'!$A$55:$F$346,2,0),IFERROR(VLOOKUP($I268,'Privacy Analyst Evaluation'!$A$46:$F$120,2,0),""))</f>
        <v/>
      </c>
      <c r="K268" s="242" t="str">
        <f aca="false">IFERROR(VLOOKUP($I268,'Institution Evaluation'!$A$55:$F$346,3,0),IFERROR(VLOOKUP($I268,'Privacy Analyst Evaluation'!$A$46:$F$120,3,0),""))&amp;""</f>
        <v/>
      </c>
      <c r="L268" s="242" t="str">
        <f aca="false">IFERROR(VLOOKUP($I268,'Institution Evaluation'!$A$55:$F$346,4,0),IFERROR(VLOOKUP($I268,'Privacy Analyst Evaluation'!$A$46:$F$120,4,0),""))&amp;""</f>
        <v/>
      </c>
      <c r="M268" s="242" t="str">
        <f aca="false">IFERROR(VLOOKUP($I268,'Institution Evaluation'!$A$55:$F$346,6,0),IFERROR(VLOOKUP($I268,'Privacy Analyst Evaluation'!$A$46:$F$120,6,0),""))&amp;""</f>
        <v/>
      </c>
    </row>
    <row r="269" customFormat="false" ht="15" hidden="false" customHeight="false" outlineLevel="0" collapsed="false">
      <c r="A269" s="242" t="str">
        <f aca="false">IFERROR(IF($A268+1&gt;'(backend scoring)'!$T$335,"",$A268+1),"")</f>
        <v/>
      </c>
      <c r="B269" s="242" t="str">
        <f aca="false">_xlfn.XLOOKUP($A269,'(backend scoring)'!$V$2:$V$333,'(backend scoring)'!$A$2:$A$333,"")</f>
        <v/>
      </c>
      <c r="C269" s="242" t="str">
        <f aca="false">IFERROR(VLOOKUP($B269,'Institution Evaluation'!$A$55:$F$346,2,0),IFERROR(VLOOKUP($B269,'Privacy Analyst Evaluation'!$A$46:$F$120,2,0),""))&amp;""</f>
        <v/>
      </c>
      <c r="D269" s="242" t="str">
        <f aca="false">IFERROR(VLOOKUP($B269,'Institution Evaluation'!$A$55:$F$346,3,0),IFERROR(VLOOKUP($B269,'Privacy Analyst Evaluation'!$A$46:$F$120,3,0),""))&amp;""</f>
        <v/>
      </c>
      <c r="E269" s="242" t="str">
        <f aca="false">IFERROR(VLOOKUP($B269,'Institution Evaluation'!$A$55:$F$346,4,0),IFERROR(VLOOKUP($B269,'Privacy Analyst Evaluation'!$A$46:$F$120,4,0),""))&amp;""</f>
        <v/>
      </c>
      <c r="F269" s="242" t="str">
        <f aca="false">IFERROR(VLOOKUP($B269,'Institution Evaluation'!$A$55:$F$346,6,0),IFERROR(VLOOKUP($B269,'Privacy Analyst Evaluation'!$A$46:$F$120,6,0),""))&amp;""</f>
        <v/>
      </c>
      <c r="G269" s="243"/>
      <c r="H269" s="242" t="str">
        <f aca="false">IFERROR(IF($H268+1&gt;'(backend scoring)'!$Q$335,"",$H268+1),"")</f>
        <v/>
      </c>
      <c r="I269" s="242" t="str">
        <f aca="false">_xlfn.XLOOKUP($H269,'(backend scoring)'!$S$2:$S$333,'(backend scoring)'!$A$2:$A$333,"")</f>
        <v/>
      </c>
      <c r="J269" s="242" t="str">
        <f aca="false">IFERROR(VLOOKUP($I269,'Institution Evaluation'!$A$55:$F$346,2,0),IFERROR(VLOOKUP($I269,'Privacy Analyst Evaluation'!$A$46:$F$120,2,0),""))</f>
        <v/>
      </c>
      <c r="K269" s="242" t="str">
        <f aca="false">IFERROR(VLOOKUP($I269,'Institution Evaluation'!$A$55:$F$346,3,0),IFERROR(VLOOKUP($I269,'Privacy Analyst Evaluation'!$A$46:$F$120,3,0),""))&amp;""</f>
        <v/>
      </c>
      <c r="L269" s="242" t="str">
        <f aca="false">IFERROR(VLOOKUP($I269,'Institution Evaluation'!$A$55:$F$346,4,0),IFERROR(VLOOKUP($I269,'Privacy Analyst Evaluation'!$A$46:$F$120,4,0),""))&amp;""</f>
        <v/>
      </c>
      <c r="M269" s="242" t="str">
        <f aca="false">IFERROR(VLOOKUP($I269,'Institution Evaluation'!$A$55:$F$346,6,0),IFERROR(VLOOKUP($I269,'Privacy Analyst Evaluation'!$A$46:$F$120,6,0),""))&amp;""</f>
        <v/>
      </c>
    </row>
    <row r="270" customFormat="false" ht="15" hidden="false" customHeight="false" outlineLevel="0" collapsed="false">
      <c r="A270" s="242" t="str">
        <f aca="false">IFERROR(IF($A269+1&gt;'(backend scoring)'!$T$335,"",$A269+1),"")</f>
        <v/>
      </c>
      <c r="B270" s="242" t="str">
        <f aca="false">_xlfn.XLOOKUP($A270,'(backend scoring)'!$V$2:$V$333,'(backend scoring)'!$A$2:$A$333,"")</f>
        <v/>
      </c>
      <c r="C270" s="242" t="str">
        <f aca="false">IFERROR(VLOOKUP($B270,'Institution Evaluation'!$A$55:$F$346,2,0),IFERROR(VLOOKUP($B270,'Privacy Analyst Evaluation'!$A$46:$F$120,2,0),""))&amp;""</f>
        <v/>
      </c>
      <c r="D270" s="242" t="str">
        <f aca="false">IFERROR(VLOOKUP($B270,'Institution Evaluation'!$A$55:$F$346,3,0),IFERROR(VLOOKUP($B270,'Privacy Analyst Evaluation'!$A$46:$F$120,3,0),""))&amp;""</f>
        <v/>
      </c>
      <c r="E270" s="242" t="str">
        <f aca="false">IFERROR(VLOOKUP($B270,'Institution Evaluation'!$A$55:$F$346,4,0),IFERROR(VLOOKUP($B270,'Privacy Analyst Evaluation'!$A$46:$F$120,4,0),""))&amp;""</f>
        <v/>
      </c>
      <c r="F270" s="242" t="str">
        <f aca="false">IFERROR(VLOOKUP($B270,'Institution Evaluation'!$A$55:$F$346,6,0),IFERROR(VLOOKUP($B270,'Privacy Analyst Evaluation'!$A$46:$F$120,6,0),""))&amp;""</f>
        <v/>
      </c>
      <c r="G270" s="243"/>
      <c r="H270" s="242" t="str">
        <f aca="false">IFERROR(IF($H269+1&gt;'(backend scoring)'!$Q$335,"",$H269+1),"")</f>
        <v/>
      </c>
      <c r="I270" s="242" t="str">
        <f aca="false">_xlfn.XLOOKUP($H270,'(backend scoring)'!$S$2:$S$333,'(backend scoring)'!$A$2:$A$333,"")</f>
        <v/>
      </c>
      <c r="J270" s="242" t="str">
        <f aca="false">IFERROR(VLOOKUP($I270,'Institution Evaluation'!$A$55:$F$346,2,0),IFERROR(VLOOKUP($I270,'Privacy Analyst Evaluation'!$A$46:$F$120,2,0),""))</f>
        <v/>
      </c>
      <c r="K270" s="242" t="str">
        <f aca="false">IFERROR(VLOOKUP($I270,'Institution Evaluation'!$A$55:$F$346,3,0),IFERROR(VLOOKUP($I270,'Privacy Analyst Evaluation'!$A$46:$F$120,3,0),""))&amp;""</f>
        <v/>
      </c>
      <c r="L270" s="242" t="str">
        <f aca="false">IFERROR(VLOOKUP($I270,'Institution Evaluation'!$A$55:$F$346,4,0),IFERROR(VLOOKUP($I270,'Privacy Analyst Evaluation'!$A$46:$F$120,4,0),""))&amp;""</f>
        <v/>
      </c>
      <c r="M270" s="242" t="str">
        <f aca="false">IFERROR(VLOOKUP($I270,'Institution Evaluation'!$A$55:$F$346,6,0),IFERROR(VLOOKUP($I270,'Privacy Analyst Evaluation'!$A$46:$F$120,6,0),""))&amp;""</f>
        <v/>
      </c>
    </row>
    <row r="271" customFormat="false" ht="15" hidden="false" customHeight="false" outlineLevel="0" collapsed="false">
      <c r="A271" s="242" t="str">
        <f aca="false">IFERROR(IF($A270+1&gt;'(backend scoring)'!$T$335,"",$A270+1),"")</f>
        <v/>
      </c>
      <c r="B271" s="242" t="str">
        <f aca="false">_xlfn.XLOOKUP($A271,'(backend scoring)'!$V$2:$V$333,'(backend scoring)'!$A$2:$A$333,"")</f>
        <v/>
      </c>
      <c r="C271" s="242" t="str">
        <f aca="false">IFERROR(VLOOKUP($B271,'Institution Evaluation'!$A$55:$F$346,2,0),IFERROR(VLOOKUP($B271,'Privacy Analyst Evaluation'!$A$46:$F$120,2,0),""))&amp;""</f>
        <v/>
      </c>
      <c r="D271" s="242" t="str">
        <f aca="false">IFERROR(VLOOKUP($B271,'Institution Evaluation'!$A$55:$F$346,3,0),IFERROR(VLOOKUP($B271,'Privacy Analyst Evaluation'!$A$46:$F$120,3,0),""))&amp;""</f>
        <v/>
      </c>
      <c r="E271" s="242" t="str">
        <f aca="false">IFERROR(VLOOKUP($B271,'Institution Evaluation'!$A$55:$F$346,4,0),IFERROR(VLOOKUP($B271,'Privacy Analyst Evaluation'!$A$46:$F$120,4,0),""))&amp;""</f>
        <v/>
      </c>
      <c r="F271" s="242" t="str">
        <f aca="false">IFERROR(VLOOKUP($B271,'Institution Evaluation'!$A$55:$F$346,6,0),IFERROR(VLOOKUP($B271,'Privacy Analyst Evaluation'!$A$46:$F$120,6,0),""))&amp;""</f>
        <v/>
      </c>
      <c r="G271" s="243"/>
      <c r="H271" s="242" t="str">
        <f aca="false">IFERROR(IF($H270+1&gt;'(backend scoring)'!$Q$335,"",$H270+1),"")</f>
        <v/>
      </c>
      <c r="I271" s="242" t="str">
        <f aca="false">_xlfn.XLOOKUP($H271,'(backend scoring)'!$S$2:$S$333,'(backend scoring)'!$A$2:$A$333,"")</f>
        <v/>
      </c>
      <c r="J271" s="242" t="str">
        <f aca="false">IFERROR(VLOOKUP($I271,'Institution Evaluation'!$A$55:$F$346,2,0),IFERROR(VLOOKUP($I271,'Privacy Analyst Evaluation'!$A$46:$F$120,2,0),""))</f>
        <v/>
      </c>
      <c r="K271" s="242" t="str">
        <f aca="false">IFERROR(VLOOKUP($I271,'Institution Evaluation'!$A$55:$F$346,3,0),IFERROR(VLOOKUP($I271,'Privacy Analyst Evaluation'!$A$46:$F$120,3,0),""))&amp;""</f>
        <v/>
      </c>
      <c r="L271" s="242" t="str">
        <f aca="false">IFERROR(VLOOKUP($I271,'Institution Evaluation'!$A$55:$F$346,4,0),IFERROR(VLOOKUP($I271,'Privacy Analyst Evaluation'!$A$46:$F$120,4,0),""))&amp;""</f>
        <v/>
      </c>
      <c r="M271" s="242" t="str">
        <f aca="false">IFERROR(VLOOKUP($I271,'Institution Evaluation'!$A$55:$F$346,6,0),IFERROR(VLOOKUP($I271,'Privacy Analyst Evaluation'!$A$46:$F$120,6,0),""))&amp;""</f>
        <v/>
      </c>
    </row>
    <row r="272" customFormat="false" ht="15" hidden="false" customHeight="false" outlineLevel="0" collapsed="false">
      <c r="A272" s="242" t="str">
        <f aca="false">IFERROR(IF($A271+1&gt;'(backend scoring)'!$T$335,"",$A271+1),"")</f>
        <v/>
      </c>
      <c r="B272" s="242" t="str">
        <f aca="false">_xlfn.XLOOKUP($A272,'(backend scoring)'!$V$2:$V$333,'(backend scoring)'!$A$2:$A$333,"")</f>
        <v/>
      </c>
      <c r="C272" s="242" t="str">
        <f aca="false">IFERROR(VLOOKUP($B272,'Institution Evaluation'!$A$55:$F$346,2,0),IFERROR(VLOOKUP($B272,'Privacy Analyst Evaluation'!$A$46:$F$120,2,0),""))&amp;""</f>
        <v/>
      </c>
      <c r="D272" s="242" t="str">
        <f aca="false">IFERROR(VLOOKUP($B272,'Institution Evaluation'!$A$55:$F$346,3,0),IFERROR(VLOOKUP($B272,'Privacy Analyst Evaluation'!$A$46:$F$120,3,0),""))&amp;""</f>
        <v/>
      </c>
      <c r="E272" s="242" t="str">
        <f aca="false">IFERROR(VLOOKUP($B272,'Institution Evaluation'!$A$55:$F$346,4,0),IFERROR(VLOOKUP($B272,'Privacy Analyst Evaluation'!$A$46:$F$120,4,0),""))&amp;""</f>
        <v/>
      </c>
      <c r="F272" s="242" t="str">
        <f aca="false">IFERROR(VLOOKUP($B272,'Institution Evaluation'!$A$55:$F$346,6,0),IFERROR(VLOOKUP($B272,'Privacy Analyst Evaluation'!$A$46:$F$120,6,0),""))&amp;""</f>
        <v/>
      </c>
      <c r="G272" s="243"/>
      <c r="H272" s="242" t="str">
        <f aca="false">IFERROR(IF($H271+1&gt;'(backend scoring)'!$Q$335,"",$H271+1),"")</f>
        <v/>
      </c>
      <c r="I272" s="242" t="str">
        <f aca="false">_xlfn.XLOOKUP($H272,'(backend scoring)'!$S$2:$S$333,'(backend scoring)'!$A$2:$A$333,"")</f>
        <v/>
      </c>
      <c r="J272" s="242" t="str">
        <f aca="false">IFERROR(VLOOKUP($I272,'Institution Evaluation'!$A$55:$F$346,2,0),IFERROR(VLOOKUP($I272,'Privacy Analyst Evaluation'!$A$46:$F$120,2,0),""))</f>
        <v/>
      </c>
      <c r="K272" s="242" t="str">
        <f aca="false">IFERROR(VLOOKUP($I272,'Institution Evaluation'!$A$55:$F$346,3,0),IFERROR(VLOOKUP($I272,'Privacy Analyst Evaluation'!$A$46:$F$120,3,0),""))&amp;""</f>
        <v/>
      </c>
      <c r="L272" s="242" t="str">
        <f aca="false">IFERROR(VLOOKUP($I272,'Institution Evaluation'!$A$55:$F$346,4,0),IFERROR(VLOOKUP($I272,'Privacy Analyst Evaluation'!$A$46:$F$120,4,0),""))&amp;""</f>
        <v/>
      </c>
      <c r="M272" s="242" t="str">
        <f aca="false">IFERROR(VLOOKUP($I272,'Institution Evaluation'!$A$55:$F$346,6,0),IFERROR(VLOOKUP($I272,'Privacy Analyst Evaluation'!$A$46:$F$120,6,0),""))&amp;""</f>
        <v/>
      </c>
    </row>
    <row r="273" customFormat="false" ht="15" hidden="false" customHeight="false" outlineLevel="0" collapsed="false">
      <c r="A273" s="242" t="str">
        <f aca="false">IFERROR(IF($A272+1&gt;'(backend scoring)'!$T$335,"",$A272+1),"")</f>
        <v/>
      </c>
      <c r="B273" s="242" t="str">
        <f aca="false">_xlfn.XLOOKUP($A273,'(backend scoring)'!$V$2:$V$333,'(backend scoring)'!$A$2:$A$333,"")</f>
        <v/>
      </c>
      <c r="C273" s="242" t="str">
        <f aca="false">IFERROR(VLOOKUP($B273,'Institution Evaluation'!$A$55:$F$346,2,0),IFERROR(VLOOKUP($B273,'Privacy Analyst Evaluation'!$A$46:$F$120,2,0),""))&amp;""</f>
        <v/>
      </c>
      <c r="D273" s="242" t="str">
        <f aca="false">IFERROR(VLOOKUP($B273,'Institution Evaluation'!$A$55:$F$346,3,0),IFERROR(VLOOKUP($B273,'Privacy Analyst Evaluation'!$A$46:$F$120,3,0),""))&amp;""</f>
        <v/>
      </c>
      <c r="E273" s="242" t="str">
        <f aca="false">IFERROR(VLOOKUP($B273,'Institution Evaluation'!$A$55:$F$346,4,0),IFERROR(VLOOKUP($B273,'Privacy Analyst Evaluation'!$A$46:$F$120,4,0),""))&amp;""</f>
        <v/>
      </c>
      <c r="F273" s="242" t="str">
        <f aca="false">IFERROR(VLOOKUP($B273,'Institution Evaluation'!$A$55:$F$346,6,0),IFERROR(VLOOKUP($B273,'Privacy Analyst Evaluation'!$A$46:$F$120,6,0),""))&amp;""</f>
        <v/>
      </c>
      <c r="G273" s="243"/>
      <c r="H273" s="242" t="str">
        <f aca="false">IFERROR(IF($H272+1&gt;'(backend scoring)'!$Q$335,"",$H272+1),"")</f>
        <v/>
      </c>
      <c r="I273" s="242" t="str">
        <f aca="false">_xlfn.XLOOKUP($H273,'(backend scoring)'!$S$2:$S$333,'(backend scoring)'!$A$2:$A$333,"")</f>
        <v/>
      </c>
      <c r="J273" s="242" t="str">
        <f aca="false">IFERROR(VLOOKUP($I273,'Institution Evaluation'!$A$55:$F$346,2,0),IFERROR(VLOOKUP($I273,'Privacy Analyst Evaluation'!$A$46:$F$120,2,0),""))</f>
        <v/>
      </c>
      <c r="K273" s="242" t="str">
        <f aca="false">IFERROR(VLOOKUP($I273,'Institution Evaluation'!$A$55:$F$346,3,0),IFERROR(VLOOKUP($I273,'Privacy Analyst Evaluation'!$A$46:$F$120,3,0),""))&amp;""</f>
        <v/>
      </c>
      <c r="L273" s="242" t="str">
        <f aca="false">IFERROR(VLOOKUP($I273,'Institution Evaluation'!$A$55:$F$346,4,0),IFERROR(VLOOKUP($I273,'Privacy Analyst Evaluation'!$A$46:$F$120,4,0),""))&amp;""</f>
        <v/>
      </c>
      <c r="M273" s="242" t="str">
        <f aca="false">IFERROR(VLOOKUP($I273,'Institution Evaluation'!$A$55:$F$346,6,0),IFERROR(VLOOKUP($I273,'Privacy Analyst Evaluation'!$A$46:$F$120,6,0),""))&amp;""</f>
        <v/>
      </c>
    </row>
    <row r="274" customFormat="false" ht="15" hidden="false" customHeight="false" outlineLevel="0" collapsed="false">
      <c r="A274" s="242" t="str">
        <f aca="false">IFERROR(IF($A273+1&gt;'(backend scoring)'!$T$335,"",$A273+1),"")</f>
        <v/>
      </c>
      <c r="B274" s="242" t="str">
        <f aca="false">_xlfn.XLOOKUP($A274,'(backend scoring)'!$V$2:$V$333,'(backend scoring)'!$A$2:$A$333,"")</f>
        <v/>
      </c>
      <c r="C274" s="242" t="str">
        <f aca="false">IFERROR(VLOOKUP($B274,'Institution Evaluation'!$A$55:$F$346,2,0),IFERROR(VLOOKUP($B274,'Privacy Analyst Evaluation'!$A$46:$F$120,2,0),""))&amp;""</f>
        <v/>
      </c>
      <c r="D274" s="242" t="str">
        <f aca="false">IFERROR(VLOOKUP($B274,'Institution Evaluation'!$A$55:$F$346,3,0),IFERROR(VLOOKUP($B274,'Privacy Analyst Evaluation'!$A$46:$F$120,3,0),""))&amp;""</f>
        <v/>
      </c>
      <c r="E274" s="242" t="str">
        <f aca="false">IFERROR(VLOOKUP($B274,'Institution Evaluation'!$A$55:$F$346,4,0),IFERROR(VLOOKUP($B274,'Privacy Analyst Evaluation'!$A$46:$F$120,4,0),""))&amp;""</f>
        <v/>
      </c>
      <c r="F274" s="242" t="str">
        <f aca="false">IFERROR(VLOOKUP($B274,'Institution Evaluation'!$A$55:$F$346,6,0),IFERROR(VLOOKUP($B274,'Privacy Analyst Evaluation'!$A$46:$F$120,6,0),""))&amp;""</f>
        <v/>
      </c>
      <c r="G274" s="243"/>
      <c r="H274" s="242" t="str">
        <f aca="false">IFERROR(IF($H273+1&gt;'(backend scoring)'!$Q$335,"",$H273+1),"")</f>
        <v/>
      </c>
      <c r="I274" s="242" t="str">
        <f aca="false">_xlfn.XLOOKUP($H274,'(backend scoring)'!$S$2:$S$333,'(backend scoring)'!$A$2:$A$333,"")</f>
        <v/>
      </c>
      <c r="J274" s="242" t="str">
        <f aca="false">IFERROR(VLOOKUP($I274,'Institution Evaluation'!$A$55:$F$346,2,0),IFERROR(VLOOKUP($I274,'Privacy Analyst Evaluation'!$A$46:$F$120,2,0),""))</f>
        <v/>
      </c>
      <c r="K274" s="242" t="str">
        <f aca="false">IFERROR(VLOOKUP($I274,'Institution Evaluation'!$A$55:$F$346,3,0),IFERROR(VLOOKUP($I274,'Privacy Analyst Evaluation'!$A$46:$F$120,3,0),""))&amp;""</f>
        <v/>
      </c>
      <c r="L274" s="242" t="str">
        <f aca="false">IFERROR(VLOOKUP($I274,'Institution Evaluation'!$A$55:$F$346,4,0),IFERROR(VLOOKUP($I274,'Privacy Analyst Evaluation'!$A$46:$F$120,4,0),""))&amp;""</f>
        <v/>
      </c>
      <c r="M274" s="242" t="str">
        <f aca="false">IFERROR(VLOOKUP($I274,'Institution Evaluation'!$A$55:$F$346,6,0),IFERROR(VLOOKUP($I274,'Privacy Analyst Evaluation'!$A$46:$F$120,6,0),""))&amp;""</f>
        <v/>
      </c>
    </row>
    <row r="275" customFormat="false" ht="15" hidden="false" customHeight="false" outlineLevel="0" collapsed="false">
      <c r="A275" s="242" t="str">
        <f aca="false">IFERROR(IF($A274+1&gt;'(backend scoring)'!$T$335,"",$A274+1),"")</f>
        <v/>
      </c>
      <c r="B275" s="242" t="str">
        <f aca="false">_xlfn.XLOOKUP($A275,'(backend scoring)'!$V$2:$V$333,'(backend scoring)'!$A$2:$A$333,"")</f>
        <v/>
      </c>
      <c r="C275" s="242" t="str">
        <f aca="false">IFERROR(VLOOKUP($B275,'Institution Evaluation'!$A$55:$F$346,2,0),IFERROR(VLOOKUP($B275,'Privacy Analyst Evaluation'!$A$46:$F$120,2,0),""))&amp;""</f>
        <v/>
      </c>
      <c r="D275" s="242" t="str">
        <f aca="false">IFERROR(VLOOKUP($B275,'Institution Evaluation'!$A$55:$F$346,3,0),IFERROR(VLOOKUP($B275,'Privacy Analyst Evaluation'!$A$46:$F$120,3,0),""))&amp;""</f>
        <v/>
      </c>
      <c r="E275" s="242" t="str">
        <f aca="false">IFERROR(VLOOKUP($B275,'Institution Evaluation'!$A$55:$F$346,4,0),IFERROR(VLOOKUP($B275,'Privacy Analyst Evaluation'!$A$46:$F$120,4,0),""))&amp;""</f>
        <v/>
      </c>
      <c r="F275" s="242" t="str">
        <f aca="false">IFERROR(VLOOKUP($B275,'Institution Evaluation'!$A$55:$F$346,6,0),IFERROR(VLOOKUP($B275,'Privacy Analyst Evaluation'!$A$46:$F$120,6,0),""))&amp;""</f>
        <v/>
      </c>
      <c r="G275" s="243"/>
      <c r="H275" s="242" t="str">
        <f aca="false">IFERROR(IF($H274+1&gt;'(backend scoring)'!$Q$335,"",$H274+1),"")</f>
        <v/>
      </c>
      <c r="I275" s="242" t="str">
        <f aca="false">_xlfn.XLOOKUP($H275,'(backend scoring)'!$S$2:$S$333,'(backend scoring)'!$A$2:$A$333,"")</f>
        <v/>
      </c>
      <c r="J275" s="242" t="str">
        <f aca="false">IFERROR(VLOOKUP($I275,'Institution Evaluation'!$A$55:$F$346,2,0),IFERROR(VLOOKUP($I275,'Privacy Analyst Evaluation'!$A$46:$F$120,2,0),""))</f>
        <v/>
      </c>
      <c r="K275" s="242" t="str">
        <f aca="false">IFERROR(VLOOKUP($I275,'Institution Evaluation'!$A$55:$F$346,3,0),IFERROR(VLOOKUP($I275,'Privacy Analyst Evaluation'!$A$46:$F$120,3,0),""))&amp;""</f>
        <v/>
      </c>
      <c r="L275" s="242" t="str">
        <f aca="false">IFERROR(VLOOKUP($I275,'Institution Evaluation'!$A$55:$F$346,4,0),IFERROR(VLOOKUP($I275,'Privacy Analyst Evaluation'!$A$46:$F$120,4,0),""))&amp;""</f>
        <v/>
      </c>
      <c r="M275" s="242" t="str">
        <f aca="false">IFERROR(VLOOKUP($I275,'Institution Evaluation'!$A$55:$F$346,6,0),IFERROR(VLOOKUP($I275,'Privacy Analyst Evaluation'!$A$46:$F$120,6,0),""))&amp;""</f>
        <v/>
      </c>
    </row>
    <row r="276" customFormat="false" ht="15" hidden="false" customHeight="false" outlineLevel="0" collapsed="false">
      <c r="A276" s="242" t="str">
        <f aca="false">IFERROR(IF($A275+1&gt;'(backend scoring)'!$T$335,"",$A275+1),"")</f>
        <v/>
      </c>
      <c r="B276" s="242" t="str">
        <f aca="false">_xlfn.XLOOKUP($A276,'(backend scoring)'!$V$2:$V$333,'(backend scoring)'!$A$2:$A$333,"")</f>
        <v/>
      </c>
      <c r="C276" s="242" t="str">
        <f aca="false">IFERROR(VLOOKUP($B276,'Institution Evaluation'!$A$55:$F$346,2,0),IFERROR(VLOOKUP($B276,'Privacy Analyst Evaluation'!$A$46:$F$120,2,0),""))&amp;""</f>
        <v/>
      </c>
      <c r="D276" s="242" t="str">
        <f aca="false">IFERROR(VLOOKUP($B276,'Institution Evaluation'!$A$55:$F$346,3,0),IFERROR(VLOOKUP($B276,'Privacy Analyst Evaluation'!$A$46:$F$120,3,0),""))&amp;""</f>
        <v/>
      </c>
      <c r="E276" s="242" t="str">
        <f aca="false">IFERROR(VLOOKUP($B276,'Institution Evaluation'!$A$55:$F$346,4,0),IFERROR(VLOOKUP($B276,'Privacy Analyst Evaluation'!$A$46:$F$120,4,0),""))&amp;""</f>
        <v/>
      </c>
      <c r="F276" s="242" t="str">
        <f aca="false">IFERROR(VLOOKUP($B276,'Institution Evaluation'!$A$55:$F$346,6,0),IFERROR(VLOOKUP($B276,'Privacy Analyst Evaluation'!$A$46:$F$120,6,0),""))&amp;""</f>
        <v/>
      </c>
      <c r="G276" s="243"/>
      <c r="H276" s="242" t="str">
        <f aca="false">IFERROR(IF($H275+1&gt;'(backend scoring)'!$Q$335,"",$H275+1),"")</f>
        <v/>
      </c>
      <c r="I276" s="242" t="str">
        <f aca="false">_xlfn.XLOOKUP($H276,'(backend scoring)'!$S$2:$S$333,'(backend scoring)'!$A$2:$A$333,"")</f>
        <v/>
      </c>
      <c r="J276" s="242" t="str">
        <f aca="false">IFERROR(VLOOKUP($I276,'Institution Evaluation'!$A$55:$F$346,2,0),IFERROR(VLOOKUP($I276,'Privacy Analyst Evaluation'!$A$46:$F$120,2,0),""))</f>
        <v/>
      </c>
      <c r="K276" s="242" t="str">
        <f aca="false">IFERROR(VLOOKUP($I276,'Institution Evaluation'!$A$55:$F$346,3,0),IFERROR(VLOOKUP($I276,'Privacy Analyst Evaluation'!$A$46:$F$120,3,0),""))&amp;""</f>
        <v/>
      </c>
      <c r="L276" s="242" t="str">
        <f aca="false">IFERROR(VLOOKUP($I276,'Institution Evaluation'!$A$55:$F$346,4,0),IFERROR(VLOOKUP($I276,'Privacy Analyst Evaluation'!$A$46:$F$120,4,0),""))&amp;""</f>
        <v/>
      </c>
      <c r="M276" s="242" t="str">
        <f aca="false">IFERROR(VLOOKUP($I276,'Institution Evaluation'!$A$55:$F$346,6,0),IFERROR(VLOOKUP($I276,'Privacy Analyst Evaluation'!$A$46:$F$120,6,0),""))&amp;""</f>
        <v/>
      </c>
    </row>
    <row r="277" customFormat="false" ht="15" hidden="false" customHeight="false" outlineLevel="0" collapsed="false">
      <c r="A277" s="242" t="str">
        <f aca="false">IFERROR(IF($A276+1&gt;'(backend scoring)'!$T$335,"",$A276+1),"")</f>
        <v/>
      </c>
      <c r="B277" s="242" t="str">
        <f aca="false">_xlfn.XLOOKUP($A277,'(backend scoring)'!$V$2:$V$333,'(backend scoring)'!$A$2:$A$333,"")</f>
        <v/>
      </c>
      <c r="C277" s="242" t="str">
        <f aca="false">IFERROR(VLOOKUP($B277,'Institution Evaluation'!$A$55:$F$346,2,0),IFERROR(VLOOKUP($B277,'Privacy Analyst Evaluation'!$A$46:$F$120,2,0),""))&amp;""</f>
        <v/>
      </c>
      <c r="D277" s="242" t="str">
        <f aca="false">IFERROR(VLOOKUP($B277,'Institution Evaluation'!$A$55:$F$346,3,0),IFERROR(VLOOKUP($B277,'Privacy Analyst Evaluation'!$A$46:$F$120,3,0),""))&amp;""</f>
        <v/>
      </c>
      <c r="E277" s="242" t="str">
        <f aca="false">IFERROR(VLOOKUP($B277,'Institution Evaluation'!$A$55:$F$346,4,0),IFERROR(VLOOKUP($B277,'Privacy Analyst Evaluation'!$A$46:$F$120,4,0),""))&amp;""</f>
        <v/>
      </c>
      <c r="F277" s="242" t="str">
        <f aca="false">IFERROR(VLOOKUP($B277,'Institution Evaluation'!$A$55:$F$346,6,0),IFERROR(VLOOKUP($B277,'Privacy Analyst Evaluation'!$A$46:$F$120,6,0),""))&amp;""</f>
        <v/>
      </c>
      <c r="G277" s="243"/>
      <c r="H277" s="242" t="str">
        <f aca="false">IFERROR(IF($H276+1&gt;'(backend scoring)'!$Q$335,"",$H276+1),"")</f>
        <v/>
      </c>
      <c r="I277" s="242" t="str">
        <f aca="false">_xlfn.XLOOKUP($H277,'(backend scoring)'!$S$2:$S$333,'(backend scoring)'!$A$2:$A$333,"")</f>
        <v/>
      </c>
      <c r="J277" s="242" t="str">
        <f aca="false">IFERROR(VLOOKUP($I277,'Institution Evaluation'!$A$55:$F$346,2,0),IFERROR(VLOOKUP($I277,'Privacy Analyst Evaluation'!$A$46:$F$120,2,0),""))</f>
        <v/>
      </c>
      <c r="K277" s="242" t="str">
        <f aca="false">IFERROR(VLOOKUP($I277,'Institution Evaluation'!$A$55:$F$346,3,0),IFERROR(VLOOKUP($I277,'Privacy Analyst Evaluation'!$A$46:$F$120,3,0),""))&amp;""</f>
        <v/>
      </c>
      <c r="L277" s="242" t="str">
        <f aca="false">IFERROR(VLOOKUP($I277,'Institution Evaluation'!$A$55:$F$346,4,0),IFERROR(VLOOKUP($I277,'Privacy Analyst Evaluation'!$A$46:$F$120,4,0),""))&amp;""</f>
        <v/>
      </c>
      <c r="M277" s="242" t="str">
        <f aca="false">IFERROR(VLOOKUP($I277,'Institution Evaluation'!$A$55:$F$346,6,0),IFERROR(VLOOKUP($I277,'Privacy Analyst Evaluation'!$A$46:$F$120,6,0),""))&amp;""</f>
        <v/>
      </c>
    </row>
    <row r="278" customFormat="false" ht="15" hidden="false" customHeight="false" outlineLevel="0" collapsed="false">
      <c r="A278" s="242" t="str">
        <f aca="false">IFERROR(IF($A277+1&gt;'(backend scoring)'!$T$335,"",$A277+1),"")</f>
        <v/>
      </c>
      <c r="B278" s="242" t="str">
        <f aca="false">_xlfn.XLOOKUP($A278,'(backend scoring)'!$V$2:$V$333,'(backend scoring)'!$A$2:$A$333,"")</f>
        <v/>
      </c>
      <c r="C278" s="242" t="str">
        <f aca="false">IFERROR(VLOOKUP($B278,'Institution Evaluation'!$A$55:$F$346,2,0),IFERROR(VLOOKUP($B278,'Privacy Analyst Evaluation'!$A$46:$F$120,2,0),""))&amp;""</f>
        <v/>
      </c>
      <c r="D278" s="242" t="str">
        <f aca="false">IFERROR(VLOOKUP($B278,'Institution Evaluation'!$A$55:$F$346,3,0),IFERROR(VLOOKUP($B278,'Privacy Analyst Evaluation'!$A$46:$F$120,3,0),""))&amp;""</f>
        <v/>
      </c>
      <c r="E278" s="242" t="str">
        <f aca="false">IFERROR(VLOOKUP($B278,'Institution Evaluation'!$A$55:$F$346,4,0),IFERROR(VLOOKUP($B278,'Privacy Analyst Evaluation'!$A$46:$F$120,4,0),""))&amp;""</f>
        <v/>
      </c>
      <c r="F278" s="242" t="str">
        <f aca="false">IFERROR(VLOOKUP($B278,'Institution Evaluation'!$A$55:$F$346,6,0),IFERROR(VLOOKUP($B278,'Privacy Analyst Evaluation'!$A$46:$F$120,6,0),""))&amp;""</f>
        <v/>
      </c>
      <c r="G278" s="243"/>
      <c r="H278" s="242" t="str">
        <f aca="false">IFERROR(IF($H277+1&gt;'(backend scoring)'!$Q$335,"",$H277+1),"")</f>
        <v/>
      </c>
      <c r="I278" s="242" t="str">
        <f aca="false">_xlfn.XLOOKUP($H278,'(backend scoring)'!$S$2:$S$333,'(backend scoring)'!$A$2:$A$333,"")</f>
        <v/>
      </c>
      <c r="J278" s="242" t="str">
        <f aca="false">IFERROR(VLOOKUP($I278,'Institution Evaluation'!$A$55:$F$346,2,0),IFERROR(VLOOKUP($I278,'Privacy Analyst Evaluation'!$A$46:$F$120,2,0),""))</f>
        <v/>
      </c>
      <c r="K278" s="242" t="str">
        <f aca="false">IFERROR(VLOOKUP($I278,'Institution Evaluation'!$A$55:$F$346,3,0),IFERROR(VLOOKUP($I278,'Privacy Analyst Evaluation'!$A$46:$F$120,3,0),""))&amp;""</f>
        <v/>
      </c>
      <c r="L278" s="242" t="str">
        <f aca="false">IFERROR(VLOOKUP($I278,'Institution Evaluation'!$A$55:$F$346,4,0),IFERROR(VLOOKUP($I278,'Privacy Analyst Evaluation'!$A$46:$F$120,4,0),""))&amp;""</f>
        <v/>
      </c>
      <c r="M278" s="242" t="str">
        <f aca="false">IFERROR(VLOOKUP($I278,'Institution Evaluation'!$A$55:$F$346,6,0),IFERROR(VLOOKUP($I278,'Privacy Analyst Evaluation'!$A$46:$F$120,6,0),""))&amp;""</f>
        <v/>
      </c>
    </row>
    <row r="279" customFormat="false" ht="15" hidden="false" customHeight="false" outlineLevel="0" collapsed="false">
      <c r="A279" s="242" t="str">
        <f aca="false">IFERROR(IF($A278+1&gt;'(backend scoring)'!$T$335,"",$A278+1),"")</f>
        <v/>
      </c>
      <c r="B279" s="242" t="str">
        <f aca="false">_xlfn.XLOOKUP($A279,'(backend scoring)'!$V$2:$V$333,'(backend scoring)'!$A$2:$A$333,"")</f>
        <v/>
      </c>
      <c r="C279" s="242" t="str">
        <f aca="false">IFERROR(VLOOKUP($B279,'Institution Evaluation'!$A$55:$F$346,2,0),IFERROR(VLOOKUP($B279,'Privacy Analyst Evaluation'!$A$46:$F$120,2,0),""))&amp;""</f>
        <v/>
      </c>
      <c r="D279" s="242" t="str">
        <f aca="false">IFERROR(VLOOKUP($B279,'Institution Evaluation'!$A$55:$F$346,3,0),IFERROR(VLOOKUP($B279,'Privacy Analyst Evaluation'!$A$46:$F$120,3,0),""))&amp;""</f>
        <v/>
      </c>
      <c r="E279" s="242" t="str">
        <f aca="false">IFERROR(VLOOKUP($B279,'Institution Evaluation'!$A$55:$F$346,4,0),IFERROR(VLOOKUP($B279,'Privacy Analyst Evaluation'!$A$46:$F$120,4,0),""))&amp;""</f>
        <v/>
      </c>
      <c r="F279" s="242" t="str">
        <f aca="false">IFERROR(VLOOKUP($B279,'Institution Evaluation'!$A$55:$F$346,6,0),IFERROR(VLOOKUP($B279,'Privacy Analyst Evaluation'!$A$46:$F$120,6,0),""))&amp;""</f>
        <v/>
      </c>
      <c r="G279" s="243"/>
      <c r="H279" s="242" t="str">
        <f aca="false">IFERROR(IF($H278+1&gt;'(backend scoring)'!$Q$335,"",$H278+1),"")</f>
        <v/>
      </c>
      <c r="I279" s="242" t="str">
        <f aca="false">_xlfn.XLOOKUP($H279,'(backend scoring)'!$S$2:$S$333,'(backend scoring)'!$A$2:$A$333,"")</f>
        <v/>
      </c>
      <c r="J279" s="242" t="str">
        <f aca="false">IFERROR(VLOOKUP($I279,'Institution Evaluation'!$A$55:$F$346,2,0),IFERROR(VLOOKUP($I279,'Privacy Analyst Evaluation'!$A$46:$F$120,2,0),""))</f>
        <v/>
      </c>
      <c r="K279" s="242" t="str">
        <f aca="false">IFERROR(VLOOKUP($I279,'Institution Evaluation'!$A$55:$F$346,3,0),IFERROR(VLOOKUP($I279,'Privacy Analyst Evaluation'!$A$46:$F$120,3,0),""))&amp;""</f>
        <v/>
      </c>
      <c r="L279" s="242" t="str">
        <f aca="false">IFERROR(VLOOKUP($I279,'Institution Evaluation'!$A$55:$F$346,4,0),IFERROR(VLOOKUP($I279,'Privacy Analyst Evaluation'!$A$46:$F$120,4,0),""))&amp;""</f>
        <v/>
      </c>
      <c r="M279" s="242" t="str">
        <f aca="false">IFERROR(VLOOKUP($I279,'Institution Evaluation'!$A$55:$F$346,6,0),IFERROR(VLOOKUP($I279,'Privacy Analyst Evaluation'!$A$46:$F$120,6,0),""))&amp;""</f>
        <v/>
      </c>
    </row>
    <row r="280" customFormat="false" ht="15" hidden="false" customHeight="false" outlineLevel="0" collapsed="false">
      <c r="A280" s="242" t="str">
        <f aca="false">IFERROR(IF($A279+1&gt;'(backend scoring)'!$T$335,"",$A279+1),"")</f>
        <v/>
      </c>
      <c r="B280" s="242" t="str">
        <f aca="false">_xlfn.XLOOKUP($A280,'(backend scoring)'!$V$2:$V$333,'(backend scoring)'!$A$2:$A$333,"")</f>
        <v/>
      </c>
      <c r="C280" s="242" t="str">
        <f aca="false">IFERROR(VLOOKUP($B280,'Institution Evaluation'!$A$55:$F$346,2,0),IFERROR(VLOOKUP($B280,'Privacy Analyst Evaluation'!$A$46:$F$120,2,0),""))&amp;""</f>
        <v/>
      </c>
      <c r="D280" s="242" t="str">
        <f aca="false">IFERROR(VLOOKUP($B280,'Institution Evaluation'!$A$55:$F$346,3,0),IFERROR(VLOOKUP($B280,'Privacy Analyst Evaluation'!$A$46:$F$120,3,0),""))&amp;""</f>
        <v/>
      </c>
      <c r="E280" s="242" t="str">
        <f aca="false">IFERROR(VLOOKUP($B280,'Institution Evaluation'!$A$55:$F$346,4,0),IFERROR(VLOOKUP($B280,'Privacy Analyst Evaluation'!$A$46:$F$120,4,0),""))&amp;""</f>
        <v/>
      </c>
      <c r="F280" s="242" t="str">
        <f aca="false">IFERROR(VLOOKUP($B280,'Institution Evaluation'!$A$55:$F$346,6,0),IFERROR(VLOOKUP($B280,'Privacy Analyst Evaluation'!$A$46:$F$120,6,0),""))&amp;""</f>
        <v/>
      </c>
      <c r="G280" s="243"/>
      <c r="H280" s="242" t="str">
        <f aca="false">IFERROR(IF($H279+1&gt;'(backend scoring)'!$Q$335,"",$H279+1),"")</f>
        <v/>
      </c>
      <c r="I280" s="242" t="str">
        <f aca="false">_xlfn.XLOOKUP($H280,'(backend scoring)'!$S$2:$S$333,'(backend scoring)'!$A$2:$A$333,"")</f>
        <v/>
      </c>
      <c r="J280" s="242" t="str">
        <f aca="false">IFERROR(VLOOKUP($I280,'Institution Evaluation'!$A$55:$F$346,2,0),IFERROR(VLOOKUP($I280,'Privacy Analyst Evaluation'!$A$46:$F$120,2,0),""))</f>
        <v/>
      </c>
      <c r="K280" s="242" t="str">
        <f aca="false">IFERROR(VLOOKUP($I280,'Institution Evaluation'!$A$55:$F$346,3,0),IFERROR(VLOOKUP($I280,'Privacy Analyst Evaluation'!$A$46:$F$120,3,0),""))&amp;""</f>
        <v/>
      </c>
      <c r="L280" s="242" t="str">
        <f aca="false">IFERROR(VLOOKUP($I280,'Institution Evaluation'!$A$55:$F$346,4,0),IFERROR(VLOOKUP($I280,'Privacy Analyst Evaluation'!$A$46:$F$120,4,0),""))&amp;""</f>
        <v/>
      </c>
      <c r="M280" s="242" t="str">
        <f aca="false">IFERROR(VLOOKUP($I280,'Institution Evaluation'!$A$55:$F$346,6,0),IFERROR(VLOOKUP($I280,'Privacy Analyst Evaluation'!$A$46:$F$120,6,0),""))&amp;""</f>
        <v/>
      </c>
    </row>
    <row r="281" customFormat="false" ht="15" hidden="false" customHeight="false" outlineLevel="0" collapsed="false">
      <c r="A281" s="242" t="str">
        <f aca="false">IFERROR(IF($A280+1&gt;'(backend scoring)'!$T$335,"",$A280+1),"")</f>
        <v/>
      </c>
      <c r="B281" s="242" t="str">
        <f aca="false">_xlfn.XLOOKUP($A281,'(backend scoring)'!$V$2:$V$333,'(backend scoring)'!$A$2:$A$333,"")</f>
        <v/>
      </c>
      <c r="C281" s="242" t="str">
        <f aca="false">IFERROR(VLOOKUP($B281,'Institution Evaluation'!$A$55:$F$346,2,0),IFERROR(VLOOKUP($B281,'Privacy Analyst Evaluation'!$A$46:$F$120,2,0),""))&amp;""</f>
        <v/>
      </c>
      <c r="D281" s="242" t="str">
        <f aca="false">IFERROR(VLOOKUP($B281,'Institution Evaluation'!$A$55:$F$346,3,0),IFERROR(VLOOKUP($B281,'Privacy Analyst Evaluation'!$A$46:$F$120,3,0),""))&amp;""</f>
        <v/>
      </c>
      <c r="E281" s="242" t="str">
        <f aca="false">IFERROR(VLOOKUP($B281,'Institution Evaluation'!$A$55:$F$346,4,0),IFERROR(VLOOKUP($B281,'Privacy Analyst Evaluation'!$A$46:$F$120,4,0),""))&amp;""</f>
        <v/>
      </c>
      <c r="F281" s="242" t="str">
        <f aca="false">IFERROR(VLOOKUP($B281,'Institution Evaluation'!$A$55:$F$346,6,0),IFERROR(VLOOKUP($B281,'Privacy Analyst Evaluation'!$A$46:$F$120,6,0),""))&amp;""</f>
        <v/>
      </c>
      <c r="G281" s="243"/>
      <c r="H281" s="242" t="str">
        <f aca="false">IFERROR(IF($H280+1&gt;'(backend scoring)'!$Q$335,"",$H280+1),"")</f>
        <v/>
      </c>
      <c r="I281" s="242" t="str">
        <f aca="false">_xlfn.XLOOKUP($H281,'(backend scoring)'!$S$2:$S$333,'(backend scoring)'!$A$2:$A$333,"")</f>
        <v/>
      </c>
      <c r="J281" s="242" t="str">
        <f aca="false">IFERROR(VLOOKUP($I281,'Institution Evaluation'!$A$55:$F$346,2,0),IFERROR(VLOOKUP($I281,'Privacy Analyst Evaluation'!$A$46:$F$120,2,0),""))</f>
        <v/>
      </c>
      <c r="K281" s="242" t="str">
        <f aca="false">IFERROR(VLOOKUP($I281,'Institution Evaluation'!$A$55:$F$346,3,0),IFERROR(VLOOKUP($I281,'Privacy Analyst Evaluation'!$A$46:$F$120,3,0),""))&amp;""</f>
        <v/>
      </c>
      <c r="L281" s="242" t="str">
        <f aca="false">IFERROR(VLOOKUP($I281,'Institution Evaluation'!$A$55:$F$346,4,0),IFERROR(VLOOKUP($I281,'Privacy Analyst Evaluation'!$A$46:$F$120,4,0),""))&amp;""</f>
        <v/>
      </c>
      <c r="M281" s="242" t="str">
        <f aca="false">IFERROR(VLOOKUP($I281,'Institution Evaluation'!$A$55:$F$346,6,0),IFERROR(VLOOKUP($I281,'Privacy Analyst Evaluation'!$A$46:$F$120,6,0),""))&amp;""</f>
        <v/>
      </c>
    </row>
    <row r="282" customFormat="false" ht="15" hidden="false" customHeight="false" outlineLevel="0" collapsed="false">
      <c r="A282" s="242" t="str">
        <f aca="false">IFERROR(IF($A281+1&gt;'(backend scoring)'!$T$335,"",$A281+1),"")</f>
        <v/>
      </c>
      <c r="B282" s="242" t="str">
        <f aca="false">_xlfn.XLOOKUP($A282,'(backend scoring)'!$V$2:$V$333,'(backend scoring)'!$A$2:$A$333,"")</f>
        <v/>
      </c>
      <c r="C282" s="242" t="str">
        <f aca="false">IFERROR(VLOOKUP($B282,'Institution Evaluation'!$A$55:$F$346,2,0),IFERROR(VLOOKUP($B282,'Privacy Analyst Evaluation'!$A$46:$F$120,2,0),""))&amp;""</f>
        <v/>
      </c>
      <c r="D282" s="242" t="str">
        <f aca="false">IFERROR(VLOOKUP($B282,'Institution Evaluation'!$A$55:$F$346,3,0),IFERROR(VLOOKUP($B282,'Privacy Analyst Evaluation'!$A$46:$F$120,3,0),""))&amp;""</f>
        <v/>
      </c>
      <c r="E282" s="242" t="str">
        <f aca="false">IFERROR(VLOOKUP($B282,'Institution Evaluation'!$A$55:$F$346,4,0),IFERROR(VLOOKUP($B282,'Privacy Analyst Evaluation'!$A$46:$F$120,4,0),""))&amp;""</f>
        <v/>
      </c>
      <c r="F282" s="242" t="str">
        <f aca="false">IFERROR(VLOOKUP($B282,'Institution Evaluation'!$A$55:$F$346,6,0),IFERROR(VLOOKUP($B282,'Privacy Analyst Evaluation'!$A$46:$F$120,6,0),""))&amp;""</f>
        <v/>
      </c>
      <c r="G282" s="243"/>
      <c r="H282" s="242" t="str">
        <f aca="false">IFERROR(IF($H281+1&gt;'(backend scoring)'!$Q$335,"",$H281+1),"")</f>
        <v/>
      </c>
      <c r="I282" s="242" t="str">
        <f aca="false">_xlfn.XLOOKUP($H282,'(backend scoring)'!$S$2:$S$333,'(backend scoring)'!$A$2:$A$333,"")</f>
        <v/>
      </c>
      <c r="J282" s="242" t="str">
        <f aca="false">IFERROR(VLOOKUP($I282,'Institution Evaluation'!$A$55:$F$346,2,0),IFERROR(VLOOKUP($I282,'Privacy Analyst Evaluation'!$A$46:$F$120,2,0),""))</f>
        <v/>
      </c>
      <c r="K282" s="242" t="str">
        <f aca="false">IFERROR(VLOOKUP($I282,'Institution Evaluation'!$A$55:$F$346,3,0),IFERROR(VLOOKUP($I282,'Privacy Analyst Evaluation'!$A$46:$F$120,3,0),""))&amp;""</f>
        <v/>
      </c>
      <c r="L282" s="242" t="str">
        <f aca="false">IFERROR(VLOOKUP($I282,'Institution Evaluation'!$A$55:$F$346,4,0),IFERROR(VLOOKUP($I282,'Privacy Analyst Evaluation'!$A$46:$F$120,4,0),""))&amp;""</f>
        <v/>
      </c>
      <c r="M282" s="242" t="str">
        <f aca="false">IFERROR(VLOOKUP($I282,'Institution Evaluation'!$A$55:$F$346,6,0),IFERROR(VLOOKUP($I282,'Privacy Analyst Evaluation'!$A$46:$F$120,6,0),""))&amp;""</f>
        <v/>
      </c>
    </row>
    <row r="283" customFormat="false" ht="15" hidden="false" customHeight="false" outlineLevel="0" collapsed="false">
      <c r="A283" s="242" t="str">
        <f aca="false">IFERROR(IF($A282+1&gt;'(backend scoring)'!$T$335,"",$A282+1),"")</f>
        <v/>
      </c>
      <c r="B283" s="242" t="str">
        <f aca="false">_xlfn.XLOOKUP($A283,'(backend scoring)'!$V$2:$V$333,'(backend scoring)'!$A$2:$A$333,"")</f>
        <v/>
      </c>
      <c r="C283" s="242" t="str">
        <f aca="false">IFERROR(VLOOKUP($B283,'Institution Evaluation'!$A$55:$F$346,2,0),IFERROR(VLOOKUP($B283,'Privacy Analyst Evaluation'!$A$46:$F$120,2,0),""))&amp;""</f>
        <v/>
      </c>
      <c r="D283" s="242" t="str">
        <f aca="false">IFERROR(VLOOKUP($B283,'Institution Evaluation'!$A$55:$F$346,3,0),IFERROR(VLOOKUP($B283,'Privacy Analyst Evaluation'!$A$46:$F$120,3,0),""))&amp;""</f>
        <v/>
      </c>
      <c r="E283" s="242" t="str">
        <f aca="false">IFERROR(VLOOKUP($B283,'Institution Evaluation'!$A$55:$F$346,4,0),IFERROR(VLOOKUP($B283,'Privacy Analyst Evaluation'!$A$46:$F$120,4,0),""))&amp;""</f>
        <v/>
      </c>
      <c r="F283" s="242" t="str">
        <f aca="false">IFERROR(VLOOKUP($B283,'Institution Evaluation'!$A$55:$F$346,6,0),IFERROR(VLOOKUP($B283,'Privacy Analyst Evaluation'!$A$46:$F$120,6,0),""))&amp;""</f>
        <v/>
      </c>
      <c r="G283" s="243"/>
      <c r="H283" s="242" t="str">
        <f aca="false">IFERROR(IF($H282+1&gt;'(backend scoring)'!$Q$335,"",$H282+1),"")</f>
        <v/>
      </c>
      <c r="I283" s="242" t="str">
        <f aca="false">_xlfn.XLOOKUP($H283,'(backend scoring)'!$S$2:$S$333,'(backend scoring)'!$A$2:$A$333,"")</f>
        <v/>
      </c>
      <c r="J283" s="242" t="str">
        <f aca="false">IFERROR(VLOOKUP($I283,'Institution Evaluation'!$A$55:$F$346,2,0),IFERROR(VLOOKUP($I283,'Privacy Analyst Evaluation'!$A$46:$F$120,2,0),""))</f>
        <v/>
      </c>
      <c r="K283" s="242" t="str">
        <f aca="false">IFERROR(VLOOKUP($I283,'Institution Evaluation'!$A$55:$F$346,3,0),IFERROR(VLOOKUP($I283,'Privacy Analyst Evaluation'!$A$46:$F$120,3,0),""))&amp;""</f>
        <v/>
      </c>
      <c r="L283" s="242" t="str">
        <f aca="false">IFERROR(VLOOKUP($I283,'Institution Evaluation'!$A$55:$F$346,4,0),IFERROR(VLOOKUP($I283,'Privacy Analyst Evaluation'!$A$46:$F$120,4,0),""))&amp;""</f>
        <v/>
      </c>
      <c r="M283" s="242" t="str">
        <f aca="false">IFERROR(VLOOKUP($I283,'Institution Evaluation'!$A$55:$F$346,6,0),IFERROR(VLOOKUP($I283,'Privacy Analyst Evaluation'!$A$46:$F$120,6,0),""))&amp;""</f>
        <v/>
      </c>
    </row>
    <row r="284" customFormat="false" ht="15" hidden="false" customHeight="false" outlineLevel="0" collapsed="false">
      <c r="A284" s="242" t="str">
        <f aca="false">IFERROR(IF($A283+1&gt;'(backend scoring)'!$T$335,"",$A283+1),"")</f>
        <v/>
      </c>
      <c r="B284" s="242" t="str">
        <f aca="false">_xlfn.XLOOKUP($A284,'(backend scoring)'!$V$2:$V$333,'(backend scoring)'!$A$2:$A$333,"")</f>
        <v/>
      </c>
      <c r="C284" s="242" t="str">
        <f aca="false">IFERROR(VLOOKUP($B284,'Institution Evaluation'!$A$55:$F$346,2,0),IFERROR(VLOOKUP($B284,'Privacy Analyst Evaluation'!$A$46:$F$120,2,0),""))&amp;""</f>
        <v/>
      </c>
      <c r="D284" s="242" t="str">
        <f aca="false">IFERROR(VLOOKUP($B284,'Institution Evaluation'!$A$55:$F$346,3,0),IFERROR(VLOOKUP($B284,'Privacy Analyst Evaluation'!$A$46:$F$120,3,0),""))&amp;""</f>
        <v/>
      </c>
      <c r="E284" s="242" t="str">
        <f aca="false">IFERROR(VLOOKUP($B284,'Institution Evaluation'!$A$55:$F$346,4,0),IFERROR(VLOOKUP($B284,'Privacy Analyst Evaluation'!$A$46:$F$120,4,0),""))&amp;""</f>
        <v/>
      </c>
      <c r="F284" s="242" t="str">
        <f aca="false">IFERROR(VLOOKUP($B284,'Institution Evaluation'!$A$55:$F$346,6,0),IFERROR(VLOOKUP($B284,'Privacy Analyst Evaluation'!$A$46:$F$120,6,0),""))&amp;""</f>
        <v/>
      </c>
      <c r="G284" s="243"/>
      <c r="H284" s="242" t="str">
        <f aca="false">IFERROR(IF($H283+1&gt;'(backend scoring)'!$Q$335,"",$H283+1),"")</f>
        <v/>
      </c>
      <c r="I284" s="242" t="str">
        <f aca="false">_xlfn.XLOOKUP($H284,'(backend scoring)'!$S$2:$S$333,'(backend scoring)'!$A$2:$A$333,"")</f>
        <v/>
      </c>
      <c r="J284" s="242" t="str">
        <f aca="false">IFERROR(VLOOKUP($I284,'Institution Evaluation'!$A$55:$F$346,2,0),IFERROR(VLOOKUP($I284,'Privacy Analyst Evaluation'!$A$46:$F$120,2,0),""))</f>
        <v/>
      </c>
      <c r="K284" s="242" t="str">
        <f aca="false">IFERROR(VLOOKUP($I284,'Institution Evaluation'!$A$55:$F$346,3,0),IFERROR(VLOOKUP($I284,'Privacy Analyst Evaluation'!$A$46:$F$120,3,0),""))&amp;""</f>
        <v/>
      </c>
      <c r="L284" s="242" t="str">
        <f aca="false">IFERROR(VLOOKUP($I284,'Institution Evaluation'!$A$55:$F$346,4,0),IFERROR(VLOOKUP($I284,'Privacy Analyst Evaluation'!$A$46:$F$120,4,0),""))&amp;""</f>
        <v/>
      </c>
      <c r="M284" s="242" t="str">
        <f aca="false">IFERROR(VLOOKUP($I284,'Institution Evaluation'!$A$55:$F$346,6,0),IFERROR(VLOOKUP($I284,'Privacy Analyst Evaluation'!$A$46:$F$120,6,0),""))&amp;""</f>
        <v/>
      </c>
    </row>
    <row r="285" customFormat="false" ht="15" hidden="false" customHeight="false" outlineLevel="0" collapsed="false">
      <c r="A285" s="242" t="str">
        <f aca="false">IFERROR(IF($A284+1&gt;'(backend scoring)'!$T$335,"",$A284+1),"")</f>
        <v/>
      </c>
      <c r="B285" s="242" t="str">
        <f aca="false">_xlfn.XLOOKUP($A285,'(backend scoring)'!$V$2:$V$333,'(backend scoring)'!$A$2:$A$333,"")</f>
        <v/>
      </c>
      <c r="C285" s="242" t="str">
        <f aca="false">IFERROR(VLOOKUP($B285,'Institution Evaluation'!$A$55:$F$346,2,0),IFERROR(VLOOKUP($B285,'Privacy Analyst Evaluation'!$A$46:$F$120,2,0),""))&amp;""</f>
        <v/>
      </c>
      <c r="D285" s="242" t="str">
        <f aca="false">IFERROR(VLOOKUP($B285,'Institution Evaluation'!$A$55:$F$346,3,0),IFERROR(VLOOKUP($B285,'Privacy Analyst Evaluation'!$A$46:$F$120,3,0),""))&amp;""</f>
        <v/>
      </c>
      <c r="E285" s="242" t="str">
        <f aca="false">IFERROR(VLOOKUP($B285,'Institution Evaluation'!$A$55:$F$346,4,0),IFERROR(VLOOKUP($B285,'Privacy Analyst Evaluation'!$A$46:$F$120,4,0),""))&amp;""</f>
        <v/>
      </c>
      <c r="F285" s="242" t="str">
        <f aca="false">IFERROR(VLOOKUP($B285,'Institution Evaluation'!$A$55:$F$346,6,0),IFERROR(VLOOKUP($B285,'Privacy Analyst Evaluation'!$A$46:$F$120,6,0),""))&amp;""</f>
        <v/>
      </c>
      <c r="G285" s="243"/>
      <c r="H285" s="242" t="str">
        <f aca="false">IFERROR(IF($H284+1&gt;'(backend scoring)'!$Q$335,"",$H284+1),"")</f>
        <v/>
      </c>
      <c r="I285" s="242" t="str">
        <f aca="false">_xlfn.XLOOKUP($H285,'(backend scoring)'!$S$2:$S$333,'(backend scoring)'!$A$2:$A$333,"")</f>
        <v/>
      </c>
      <c r="J285" s="242" t="str">
        <f aca="false">IFERROR(VLOOKUP($I285,'Institution Evaluation'!$A$55:$F$346,2,0),IFERROR(VLOOKUP($I285,'Privacy Analyst Evaluation'!$A$46:$F$120,2,0),""))</f>
        <v/>
      </c>
      <c r="K285" s="242" t="str">
        <f aca="false">IFERROR(VLOOKUP($I285,'Institution Evaluation'!$A$55:$F$346,3,0),IFERROR(VLOOKUP($I285,'Privacy Analyst Evaluation'!$A$46:$F$120,3,0),""))&amp;""</f>
        <v/>
      </c>
      <c r="L285" s="242" t="str">
        <f aca="false">IFERROR(VLOOKUP($I285,'Institution Evaluation'!$A$55:$F$346,4,0),IFERROR(VLOOKUP($I285,'Privacy Analyst Evaluation'!$A$46:$F$120,4,0),""))&amp;""</f>
        <v/>
      </c>
      <c r="M285" s="242" t="str">
        <f aca="false">IFERROR(VLOOKUP($I285,'Institution Evaluation'!$A$55:$F$346,6,0),IFERROR(VLOOKUP($I285,'Privacy Analyst Evaluation'!$A$46:$F$120,6,0),""))&amp;""</f>
        <v/>
      </c>
    </row>
    <row r="286" customFormat="false" ht="15" hidden="false" customHeight="false" outlineLevel="0" collapsed="false">
      <c r="A286" s="242" t="str">
        <f aca="false">IFERROR(IF($A285+1&gt;'(backend scoring)'!$T$335,"",$A285+1),"")</f>
        <v/>
      </c>
      <c r="B286" s="242" t="str">
        <f aca="false">_xlfn.XLOOKUP($A286,'(backend scoring)'!$V$2:$V$333,'(backend scoring)'!$A$2:$A$333,"")</f>
        <v/>
      </c>
      <c r="C286" s="242" t="str">
        <f aca="false">IFERROR(VLOOKUP($B286,'Institution Evaluation'!$A$55:$F$346,2,0),IFERROR(VLOOKUP($B286,'Privacy Analyst Evaluation'!$A$46:$F$120,2,0),""))&amp;""</f>
        <v/>
      </c>
      <c r="D286" s="242" t="str">
        <f aca="false">IFERROR(VLOOKUP($B286,'Institution Evaluation'!$A$55:$F$346,3,0),IFERROR(VLOOKUP($B286,'Privacy Analyst Evaluation'!$A$46:$F$120,3,0),""))&amp;""</f>
        <v/>
      </c>
      <c r="E286" s="242" t="str">
        <f aca="false">IFERROR(VLOOKUP($B286,'Institution Evaluation'!$A$55:$F$346,4,0),IFERROR(VLOOKUP($B286,'Privacy Analyst Evaluation'!$A$46:$F$120,4,0),""))&amp;""</f>
        <v/>
      </c>
      <c r="F286" s="242" t="str">
        <f aca="false">IFERROR(VLOOKUP($B286,'Institution Evaluation'!$A$55:$F$346,6,0),IFERROR(VLOOKUP($B286,'Privacy Analyst Evaluation'!$A$46:$F$120,6,0),""))&amp;""</f>
        <v/>
      </c>
      <c r="G286" s="243"/>
      <c r="H286" s="242" t="str">
        <f aca="false">IFERROR(IF($H285+1&gt;'(backend scoring)'!$Q$335,"",$H285+1),"")</f>
        <v/>
      </c>
      <c r="I286" s="242" t="str">
        <f aca="false">_xlfn.XLOOKUP($H286,'(backend scoring)'!$S$2:$S$333,'(backend scoring)'!$A$2:$A$333,"")</f>
        <v/>
      </c>
      <c r="J286" s="242" t="str">
        <f aca="false">IFERROR(VLOOKUP($I286,'Institution Evaluation'!$A$55:$F$346,2,0),IFERROR(VLOOKUP($I286,'Privacy Analyst Evaluation'!$A$46:$F$120,2,0),""))</f>
        <v/>
      </c>
      <c r="K286" s="242" t="str">
        <f aca="false">IFERROR(VLOOKUP($I286,'Institution Evaluation'!$A$55:$F$346,3,0),IFERROR(VLOOKUP($I286,'Privacy Analyst Evaluation'!$A$46:$F$120,3,0),""))&amp;""</f>
        <v/>
      </c>
      <c r="L286" s="242" t="str">
        <f aca="false">IFERROR(VLOOKUP($I286,'Institution Evaluation'!$A$55:$F$346,4,0),IFERROR(VLOOKUP($I286,'Privacy Analyst Evaluation'!$A$46:$F$120,4,0),""))&amp;""</f>
        <v/>
      </c>
      <c r="M286" s="242" t="str">
        <f aca="false">IFERROR(VLOOKUP($I286,'Institution Evaluation'!$A$55:$F$346,6,0),IFERROR(VLOOKUP($I286,'Privacy Analyst Evaluation'!$A$46:$F$120,6,0),""))&amp;""</f>
        <v/>
      </c>
    </row>
    <row r="287" customFormat="false" ht="15" hidden="false" customHeight="false" outlineLevel="0" collapsed="false">
      <c r="A287" s="242" t="str">
        <f aca="false">IFERROR(IF($A286+1&gt;'(backend scoring)'!$T$335,"",$A286+1),"")</f>
        <v/>
      </c>
      <c r="B287" s="242" t="str">
        <f aca="false">_xlfn.XLOOKUP($A287,'(backend scoring)'!$V$2:$V$333,'(backend scoring)'!$A$2:$A$333,"")</f>
        <v/>
      </c>
      <c r="C287" s="242" t="str">
        <f aca="false">IFERROR(VLOOKUP($B287,'Institution Evaluation'!$A$55:$F$346,2,0),IFERROR(VLOOKUP($B287,'Privacy Analyst Evaluation'!$A$46:$F$120,2,0),""))&amp;""</f>
        <v/>
      </c>
      <c r="D287" s="242" t="str">
        <f aca="false">IFERROR(VLOOKUP($B287,'Institution Evaluation'!$A$55:$F$346,3,0),IFERROR(VLOOKUP($B287,'Privacy Analyst Evaluation'!$A$46:$F$120,3,0),""))&amp;""</f>
        <v/>
      </c>
      <c r="E287" s="242" t="str">
        <f aca="false">IFERROR(VLOOKUP($B287,'Institution Evaluation'!$A$55:$F$346,4,0),IFERROR(VLOOKUP($B287,'Privacy Analyst Evaluation'!$A$46:$F$120,4,0),""))&amp;""</f>
        <v/>
      </c>
      <c r="F287" s="242" t="str">
        <f aca="false">IFERROR(VLOOKUP($B287,'Institution Evaluation'!$A$55:$F$346,6,0),IFERROR(VLOOKUP($B287,'Privacy Analyst Evaluation'!$A$46:$F$120,6,0),""))&amp;""</f>
        <v/>
      </c>
      <c r="G287" s="243"/>
      <c r="H287" s="242" t="str">
        <f aca="false">IFERROR(IF($H286+1&gt;'(backend scoring)'!$Q$335,"",$H286+1),"")</f>
        <v/>
      </c>
      <c r="I287" s="242" t="str">
        <f aca="false">_xlfn.XLOOKUP($H287,'(backend scoring)'!$S$2:$S$333,'(backend scoring)'!$A$2:$A$333,"")</f>
        <v/>
      </c>
      <c r="J287" s="242" t="str">
        <f aca="false">IFERROR(VLOOKUP($I287,'Institution Evaluation'!$A$55:$F$346,2,0),IFERROR(VLOOKUP($I287,'Privacy Analyst Evaluation'!$A$46:$F$120,2,0),""))</f>
        <v/>
      </c>
      <c r="K287" s="242" t="str">
        <f aca="false">IFERROR(VLOOKUP($I287,'Institution Evaluation'!$A$55:$F$346,3,0),IFERROR(VLOOKUP($I287,'Privacy Analyst Evaluation'!$A$46:$F$120,3,0),""))&amp;""</f>
        <v/>
      </c>
      <c r="L287" s="242" t="str">
        <f aca="false">IFERROR(VLOOKUP($I287,'Institution Evaluation'!$A$55:$F$346,4,0),IFERROR(VLOOKUP($I287,'Privacy Analyst Evaluation'!$A$46:$F$120,4,0),""))&amp;""</f>
        <v/>
      </c>
      <c r="M287" s="242" t="str">
        <f aca="false">IFERROR(VLOOKUP($I287,'Institution Evaluation'!$A$55:$F$346,6,0),IFERROR(VLOOKUP($I287,'Privacy Analyst Evaluation'!$A$46:$F$120,6,0),""))&amp;""</f>
        <v/>
      </c>
    </row>
    <row r="288" customFormat="false" ht="15" hidden="false" customHeight="false" outlineLevel="0" collapsed="false">
      <c r="A288" s="242" t="str">
        <f aca="false">IFERROR(IF($A287+1&gt;'(backend scoring)'!$T$335,"",$A287+1),"")</f>
        <v/>
      </c>
      <c r="B288" s="242" t="str">
        <f aca="false">_xlfn.XLOOKUP($A288,'(backend scoring)'!$V$2:$V$333,'(backend scoring)'!$A$2:$A$333,"")</f>
        <v/>
      </c>
      <c r="C288" s="242" t="str">
        <f aca="false">IFERROR(VLOOKUP($B288,'Institution Evaluation'!$A$55:$F$346,2,0),IFERROR(VLOOKUP($B288,'Privacy Analyst Evaluation'!$A$46:$F$120,2,0),""))&amp;""</f>
        <v/>
      </c>
      <c r="D288" s="242" t="str">
        <f aca="false">IFERROR(VLOOKUP($B288,'Institution Evaluation'!$A$55:$F$346,3,0),IFERROR(VLOOKUP($B288,'Privacy Analyst Evaluation'!$A$46:$F$120,3,0),""))&amp;""</f>
        <v/>
      </c>
      <c r="E288" s="242" t="str">
        <f aca="false">IFERROR(VLOOKUP($B288,'Institution Evaluation'!$A$55:$F$346,4,0),IFERROR(VLOOKUP($B288,'Privacy Analyst Evaluation'!$A$46:$F$120,4,0),""))&amp;""</f>
        <v/>
      </c>
      <c r="F288" s="242" t="str">
        <f aca="false">IFERROR(VLOOKUP($B288,'Institution Evaluation'!$A$55:$F$346,6,0),IFERROR(VLOOKUP($B288,'Privacy Analyst Evaluation'!$A$46:$F$120,6,0),""))&amp;""</f>
        <v/>
      </c>
      <c r="G288" s="243"/>
      <c r="H288" s="242" t="str">
        <f aca="false">IFERROR(IF($H287+1&gt;'(backend scoring)'!$Q$335,"",$H287+1),"")</f>
        <v/>
      </c>
      <c r="I288" s="242" t="str">
        <f aca="false">_xlfn.XLOOKUP($H288,'(backend scoring)'!$S$2:$S$333,'(backend scoring)'!$A$2:$A$333,"")</f>
        <v/>
      </c>
      <c r="J288" s="242" t="str">
        <f aca="false">IFERROR(VLOOKUP($I288,'Institution Evaluation'!$A$55:$F$346,2,0),IFERROR(VLOOKUP($I288,'Privacy Analyst Evaluation'!$A$46:$F$120,2,0),""))</f>
        <v/>
      </c>
      <c r="K288" s="242" t="str">
        <f aca="false">IFERROR(VLOOKUP($I288,'Institution Evaluation'!$A$55:$F$346,3,0),IFERROR(VLOOKUP($I288,'Privacy Analyst Evaluation'!$A$46:$F$120,3,0),""))&amp;""</f>
        <v/>
      </c>
      <c r="L288" s="242" t="str">
        <f aca="false">IFERROR(VLOOKUP($I288,'Institution Evaluation'!$A$55:$F$346,4,0),IFERROR(VLOOKUP($I288,'Privacy Analyst Evaluation'!$A$46:$F$120,4,0),""))&amp;""</f>
        <v/>
      </c>
      <c r="M288" s="242" t="str">
        <f aca="false">IFERROR(VLOOKUP($I288,'Institution Evaluation'!$A$55:$F$346,6,0),IFERROR(VLOOKUP($I288,'Privacy Analyst Evaluation'!$A$46:$F$120,6,0),""))&amp;""</f>
        <v/>
      </c>
    </row>
    <row r="289" customFormat="false" ht="15" hidden="false" customHeight="false" outlineLevel="0" collapsed="false">
      <c r="A289" s="242" t="str">
        <f aca="false">IFERROR(IF($A288+1&gt;'(backend scoring)'!$T$335,"",$A288+1),"")</f>
        <v/>
      </c>
      <c r="B289" s="242" t="str">
        <f aca="false">_xlfn.XLOOKUP($A289,'(backend scoring)'!$V$2:$V$333,'(backend scoring)'!$A$2:$A$333,"")</f>
        <v/>
      </c>
      <c r="C289" s="242" t="str">
        <f aca="false">IFERROR(VLOOKUP($B289,'Institution Evaluation'!$A$55:$F$346,2,0),IFERROR(VLOOKUP($B289,'Privacy Analyst Evaluation'!$A$46:$F$120,2,0),""))&amp;""</f>
        <v/>
      </c>
      <c r="D289" s="242" t="str">
        <f aca="false">IFERROR(VLOOKUP($B289,'Institution Evaluation'!$A$55:$F$346,3,0),IFERROR(VLOOKUP($B289,'Privacy Analyst Evaluation'!$A$46:$F$120,3,0),""))&amp;""</f>
        <v/>
      </c>
      <c r="E289" s="242" t="str">
        <f aca="false">IFERROR(VLOOKUP($B289,'Institution Evaluation'!$A$55:$F$346,4,0),IFERROR(VLOOKUP($B289,'Privacy Analyst Evaluation'!$A$46:$F$120,4,0),""))&amp;""</f>
        <v/>
      </c>
      <c r="F289" s="242" t="str">
        <f aca="false">IFERROR(VLOOKUP($B289,'Institution Evaluation'!$A$55:$F$346,6,0),IFERROR(VLOOKUP($B289,'Privacy Analyst Evaluation'!$A$46:$F$120,6,0),""))&amp;""</f>
        <v/>
      </c>
      <c r="G289" s="243"/>
      <c r="H289" s="242" t="str">
        <f aca="false">IFERROR(IF($H288+1&gt;'(backend scoring)'!$Q$335,"",$H288+1),"")</f>
        <v/>
      </c>
      <c r="I289" s="242" t="str">
        <f aca="false">_xlfn.XLOOKUP($H289,'(backend scoring)'!$S$2:$S$333,'(backend scoring)'!$A$2:$A$333,"")</f>
        <v/>
      </c>
      <c r="J289" s="242" t="str">
        <f aca="false">IFERROR(VLOOKUP($I289,'Institution Evaluation'!$A$55:$F$346,2,0),IFERROR(VLOOKUP($I289,'Privacy Analyst Evaluation'!$A$46:$F$120,2,0),""))</f>
        <v/>
      </c>
      <c r="K289" s="242" t="str">
        <f aca="false">IFERROR(VLOOKUP($I289,'Institution Evaluation'!$A$55:$F$346,3,0),IFERROR(VLOOKUP($I289,'Privacy Analyst Evaluation'!$A$46:$F$120,3,0),""))&amp;""</f>
        <v/>
      </c>
      <c r="L289" s="242" t="str">
        <f aca="false">IFERROR(VLOOKUP($I289,'Institution Evaluation'!$A$55:$F$346,4,0),IFERROR(VLOOKUP($I289,'Privacy Analyst Evaluation'!$A$46:$F$120,4,0),""))&amp;""</f>
        <v/>
      </c>
      <c r="M289" s="242" t="str">
        <f aca="false">IFERROR(VLOOKUP($I289,'Institution Evaluation'!$A$55:$F$346,6,0),IFERROR(VLOOKUP($I289,'Privacy Analyst Evaluation'!$A$46:$F$120,6,0),""))&amp;""</f>
        <v/>
      </c>
    </row>
    <row r="290" customFormat="false" ht="15" hidden="false" customHeight="false" outlineLevel="0" collapsed="false">
      <c r="A290" s="242" t="str">
        <f aca="false">IFERROR(IF($A289+1&gt;'(backend scoring)'!$T$335,"",$A289+1),"")</f>
        <v/>
      </c>
      <c r="B290" s="242" t="str">
        <f aca="false">_xlfn.XLOOKUP($A290,'(backend scoring)'!$V$2:$V$333,'(backend scoring)'!$A$2:$A$333,"")</f>
        <v/>
      </c>
      <c r="C290" s="242" t="str">
        <f aca="false">IFERROR(VLOOKUP($B290,'Institution Evaluation'!$A$55:$F$346,2,0),IFERROR(VLOOKUP($B290,'Privacy Analyst Evaluation'!$A$46:$F$120,2,0),""))&amp;""</f>
        <v/>
      </c>
      <c r="D290" s="242" t="str">
        <f aca="false">IFERROR(VLOOKUP($B290,'Institution Evaluation'!$A$55:$F$346,3,0),IFERROR(VLOOKUP($B290,'Privacy Analyst Evaluation'!$A$46:$F$120,3,0),""))&amp;""</f>
        <v/>
      </c>
      <c r="E290" s="242" t="str">
        <f aca="false">IFERROR(VLOOKUP($B290,'Institution Evaluation'!$A$55:$F$346,4,0),IFERROR(VLOOKUP($B290,'Privacy Analyst Evaluation'!$A$46:$F$120,4,0),""))&amp;""</f>
        <v/>
      </c>
      <c r="F290" s="242" t="str">
        <f aca="false">IFERROR(VLOOKUP($B290,'Institution Evaluation'!$A$55:$F$346,6,0),IFERROR(VLOOKUP($B290,'Privacy Analyst Evaluation'!$A$46:$F$120,6,0),""))&amp;""</f>
        <v/>
      </c>
      <c r="G290" s="243"/>
      <c r="H290" s="242" t="str">
        <f aca="false">IFERROR(IF($H289+1&gt;'(backend scoring)'!$Q$335,"",$H289+1),"")</f>
        <v/>
      </c>
      <c r="I290" s="242" t="str">
        <f aca="false">_xlfn.XLOOKUP($H290,'(backend scoring)'!$S$2:$S$333,'(backend scoring)'!$A$2:$A$333,"")</f>
        <v/>
      </c>
      <c r="J290" s="242" t="str">
        <f aca="false">IFERROR(VLOOKUP($I290,'Institution Evaluation'!$A$55:$F$346,2,0),IFERROR(VLOOKUP($I290,'Privacy Analyst Evaluation'!$A$46:$F$120,2,0),""))</f>
        <v/>
      </c>
      <c r="K290" s="242" t="str">
        <f aca="false">IFERROR(VLOOKUP($I290,'Institution Evaluation'!$A$55:$F$346,3,0),IFERROR(VLOOKUP($I290,'Privacy Analyst Evaluation'!$A$46:$F$120,3,0),""))&amp;""</f>
        <v/>
      </c>
      <c r="L290" s="242" t="str">
        <f aca="false">IFERROR(VLOOKUP($I290,'Institution Evaluation'!$A$55:$F$346,4,0),IFERROR(VLOOKUP($I290,'Privacy Analyst Evaluation'!$A$46:$F$120,4,0),""))&amp;""</f>
        <v/>
      </c>
      <c r="M290" s="242" t="str">
        <f aca="false">IFERROR(VLOOKUP($I290,'Institution Evaluation'!$A$55:$F$346,6,0),IFERROR(VLOOKUP($I290,'Privacy Analyst Evaluation'!$A$46:$F$120,6,0),""))&amp;""</f>
        <v/>
      </c>
    </row>
    <row r="291" customFormat="false" ht="15" hidden="false" customHeight="false" outlineLevel="0" collapsed="false">
      <c r="A291" s="242" t="str">
        <f aca="false">IFERROR(IF($A290+1&gt;'(backend scoring)'!$T$335,"",$A290+1),"")</f>
        <v/>
      </c>
      <c r="B291" s="242" t="str">
        <f aca="false">_xlfn.XLOOKUP($A291,'(backend scoring)'!$V$2:$V$333,'(backend scoring)'!$A$2:$A$333,"")</f>
        <v/>
      </c>
      <c r="C291" s="242" t="str">
        <f aca="false">IFERROR(VLOOKUP($B291,'Institution Evaluation'!$A$55:$F$346,2,0),IFERROR(VLOOKUP($B291,'Privacy Analyst Evaluation'!$A$46:$F$120,2,0),""))&amp;""</f>
        <v/>
      </c>
      <c r="D291" s="242" t="str">
        <f aca="false">IFERROR(VLOOKUP($B291,'Institution Evaluation'!$A$55:$F$346,3,0),IFERROR(VLOOKUP($B291,'Privacy Analyst Evaluation'!$A$46:$F$120,3,0),""))&amp;""</f>
        <v/>
      </c>
      <c r="E291" s="242" t="str">
        <f aca="false">IFERROR(VLOOKUP($B291,'Institution Evaluation'!$A$55:$F$346,4,0),IFERROR(VLOOKUP($B291,'Privacy Analyst Evaluation'!$A$46:$F$120,4,0),""))&amp;""</f>
        <v/>
      </c>
      <c r="F291" s="242" t="str">
        <f aca="false">IFERROR(VLOOKUP($B291,'Institution Evaluation'!$A$55:$F$346,6,0),IFERROR(VLOOKUP($B291,'Privacy Analyst Evaluation'!$A$46:$F$120,6,0),""))&amp;""</f>
        <v/>
      </c>
      <c r="G291" s="243"/>
      <c r="H291" s="242" t="str">
        <f aca="false">IFERROR(IF($H290+1&gt;'(backend scoring)'!$Q$335,"",$H290+1),"")</f>
        <v/>
      </c>
      <c r="I291" s="242" t="str">
        <f aca="false">_xlfn.XLOOKUP($H291,'(backend scoring)'!$S$2:$S$333,'(backend scoring)'!$A$2:$A$333,"")</f>
        <v/>
      </c>
      <c r="J291" s="242" t="str">
        <f aca="false">IFERROR(VLOOKUP($I291,'Institution Evaluation'!$A$55:$F$346,2,0),IFERROR(VLOOKUP($I291,'Privacy Analyst Evaluation'!$A$46:$F$120,2,0),""))</f>
        <v/>
      </c>
      <c r="K291" s="242" t="str">
        <f aca="false">IFERROR(VLOOKUP($I291,'Institution Evaluation'!$A$55:$F$346,3,0),IFERROR(VLOOKUP($I291,'Privacy Analyst Evaluation'!$A$46:$F$120,3,0),""))&amp;""</f>
        <v/>
      </c>
      <c r="L291" s="242" t="str">
        <f aca="false">IFERROR(VLOOKUP($I291,'Institution Evaluation'!$A$55:$F$346,4,0),IFERROR(VLOOKUP($I291,'Privacy Analyst Evaluation'!$A$46:$F$120,4,0),""))&amp;""</f>
        <v/>
      </c>
      <c r="M291" s="242" t="str">
        <f aca="false">IFERROR(VLOOKUP($I291,'Institution Evaluation'!$A$55:$F$346,6,0),IFERROR(VLOOKUP($I291,'Privacy Analyst Evaluation'!$A$46:$F$120,6,0),""))&amp;""</f>
        <v/>
      </c>
    </row>
    <row r="292" customFormat="false" ht="15" hidden="false" customHeight="false" outlineLevel="0" collapsed="false">
      <c r="A292" s="242" t="str">
        <f aca="false">IFERROR(IF($A291+1&gt;'(backend scoring)'!$T$335,"",$A291+1),"")</f>
        <v/>
      </c>
      <c r="B292" s="242" t="str">
        <f aca="false">_xlfn.XLOOKUP($A292,'(backend scoring)'!$V$2:$V$333,'(backend scoring)'!$A$2:$A$333,"")</f>
        <v/>
      </c>
      <c r="C292" s="242" t="str">
        <f aca="false">IFERROR(VLOOKUP($B292,'Institution Evaluation'!$A$55:$F$346,2,0),IFERROR(VLOOKUP($B292,'Privacy Analyst Evaluation'!$A$46:$F$120,2,0),""))&amp;""</f>
        <v/>
      </c>
      <c r="D292" s="242" t="str">
        <f aca="false">IFERROR(VLOOKUP($B292,'Institution Evaluation'!$A$55:$F$346,3,0),IFERROR(VLOOKUP($B292,'Privacy Analyst Evaluation'!$A$46:$F$120,3,0),""))&amp;""</f>
        <v/>
      </c>
      <c r="E292" s="242" t="str">
        <f aca="false">IFERROR(VLOOKUP($B292,'Institution Evaluation'!$A$55:$F$346,4,0),IFERROR(VLOOKUP($B292,'Privacy Analyst Evaluation'!$A$46:$F$120,4,0),""))&amp;""</f>
        <v/>
      </c>
      <c r="F292" s="242" t="str">
        <f aca="false">IFERROR(VLOOKUP($B292,'Institution Evaluation'!$A$55:$F$346,6,0),IFERROR(VLOOKUP($B292,'Privacy Analyst Evaluation'!$A$46:$F$120,6,0),""))&amp;""</f>
        <v/>
      </c>
      <c r="G292" s="243"/>
      <c r="H292" s="242" t="str">
        <f aca="false">IFERROR(IF($H291+1&gt;'(backend scoring)'!$Q$335,"",$H291+1),"")</f>
        <v/>
      </c>
      <c r="I292" s="242" t="str">
        <f aca="false">_xlfn.XLOOKUP($H292,'(backend scoring)'!$S$2:$S$333,'(backend scoring)'!$A$2:$A$333,"")</f>
        <v/>
      </c>
      <c r="J292" s="242" t="str">
        <f aca="false">IFERROR(VLOOKUP($I292,'Institution Evaluation'!$A$55:$F$346,2,0),IFERROR(VLOOKUP($I292,'Privacy Analyst Evaluation'!$A$46:$F$120,2,0),""))</f>
        <v/>
      </c>
      <c r="K292" s="242" t="str">
        <f aca="false">IFERROR(VLOOKUP($I292,'Institution Evaluation'!$A$55:$F$346,3,0),IFERROR(VLOOKUP($I292,'Privacy Analyst Evaluation'!$A$46:$F$120,3,0),""))&amp;""</f>
        <v/>
      </c>
      <c r="L292" s="242" t="str">
        <f aca="false">IFERROR(VLOOKUP($I292,'Institution Evaluation'!$A$55:$F$346,4,0),IFERROR(VLOOKUP($I292,'Privacy Analyst Evaluation'!$A$46:$F$120,4,0),""))&amp;""</f>
        <v/>
      </c>
      <c r="M292" s="242" t="str">
        <f aca="false">IFERROR(VLOOKUP($I292,'Institution Evaluation'!$A$55:$F$346,6,0),IFERROR(VLOOKUP($I292,'Privacy Analyst Evaluation'!$A$46:$F$120,6,0),""))&amp;""</f>
        <v/>
      </c>
    </row>
    <row r="293" customFormat="false" ht="15" hidden="false" customHeight="false" outlineLevel="0" collapsed="false">
      <c r="A293" s="242" t="str">
        <f aca="false">IFERROR(IF($A292+1&gt;'(backend scoring)'!$T$335,"",$A292+1),"")</f>
        <v/>
      </c>
      <c r="B293" s="242" t="str">
        <f aca="false">_xlfn.XLOOKUP($A293,'(backend scoring)'!$V$2:$V$333,'(backend scoring)'!$A$2:$A$333,"")</f>
        <v/>
      </c>
      <c r="C293" s="242" t="str">
        <f aca="false">IFERROR(VLOOKUP($B293,'Institution Evaluation'!$A$55:$F$346,2,0),IFERROR(VLOOKUP($B293,'Privacy Analyst Evaluation'!$A$46:$F$120,2,0),""))&amp;""</f>
        <v/>
      </c>
      <c r="D293" s="242" t="str">
        <f aca="false">IFERROR(VLOOKUP($B293,'Institution Evaluation'!$A$55:$F$346,3,0),IFERROR(VLOOKUP($B293,'Privacy Analyst Evaluation'!$A$46:$F$120,3,0),""))&amp;""</f>
        <v/>
      </c>
      <c r="E293" s="242" t="str">
        <f aca="false">IFERROR(VLOOKUP($B293,'Institution Evaluation'!$A$55:$F$346,4,0),IFERROR(VLOOKUP($B293,'Privacy Analyst Evaluation'!$A$46:$F$120,4,0),""))&amp;""</f>
        <v/>
      </c>
      <c r="F293" s="242" t="str">
        <f aca="false">IFERROR(VLOOKUP($B293,'Institution Evaluation'!$A$55:$F$346,6,0),IFERROR(VLOOKUP($B293,'Privacy Analyst Evaluation'!$A$46:$F$120,6,0),""))&amp;""</f>
        <v/>
      </c>
      <c r="G293" s="243"/>
      <c r="H293" s="242" t="str">
        <f aca="false">IFERROR(IF($H292+1&gt;'(backend scoring)'!$Q$335,"",$H292+1),"")</f>
        <v/>
      </c>
      <c r="I293" s="242" t="str">
        <f aca="false">_xlfn.XLOOKUP($H293,'(backend scoring)'!$S$2:$S$333,'(backend scoring)'!$A$2:$A$333,"")</f>
        <v/>
      </c>
      <c r="J293" s="242" t="str">
        <f aca="false">IFERROR(VLOOKUP($I293,'Institution Evaluation'!$A$55:$F$346,2,0),IFERROR(VLOOKUP($I293,'Privacy Analyst Evaluation'!$A$46:$F$120,2,0),""))</f>
        <v/>
      </c>
      <c r="K293" s="242" t="str">
        <f aca="false">IFERROR(VLOOKUP($I293,'Institution Evaluation'!$A$55:$F$346,3,0),IFERROR(VLOOKUP($I293,'Privacy Analyst Evaluation'!$A$46:$F$120,3,0),""))&amp;""</f>
        <v/>
      </c>
      <c r="L293" s="242" t="str">
        <f aca="false">IFERROR(VLOOKUP($I293,'Institution Evaluation'!$A$55:$F$346,4,0),IFERROR(VLOOKUP($I293,'Privacy Analyst Evaluation'!$A$46:$F$120,4,0),""))&amp;""</f>
        <v/>
      </c>
      <c r="M293" s="242" t="str">
        <f aca="false">IFERROR(VLOOKUP($I293,'Institution Evaluation'!$A$55:$F$346,6,0),IFERROR(VLOOKUP($I293,'Privacy Analyst Evaluation'!$A$46:$F$120,6,0),""))&amp;""</f>
        <v/>
      </c>
    </row>
    <row r="294" customFormat="false" ht="15" hidden="false" customHeight="false" outlineLevel="0" collapsed="false">
      <c r="A294" s="242" t="str">
        <f aca="false">IFERROR(IF($A293+1&gt;'(backend scoring)'!$T$335,"",$A293+1),"")</f>
        <v/>
      </c>
      <c r="B294" s="242" t="str">
        <f aca="false">_xlfn.XLOOKUP($A294,'(backend scoring)'!$V$2:$V$333,'(backend scoring)'!$A$2:$A$333,"")</f>
        <v/>
      </c>
      <c r="C294" s="242" t="str">
        <f aca="false">IFERROR(VLOOKUP($B294,'Institution Evaluation'!$A$55:$F$346,2,0),IFERROR(VLOOKUP($B294,'Privacy Analyst Evaluation'!$A$46:$F$120,2,0),""))&amp;""</f>
        <v/>
      </c>
      <c r="D294" s="242" t="str">
        <f aca="false">IFERROR(VLOOKUP($B294,'Institution Evaluation'!$A$55:$F$346,3,0),IFERROR(VLOOKUP($B294,'Privacy Analyst Evaluation'!$A$46:$F$120,3,0),""))&amp;""</f>
        <v/>
      </c>
      <c r="E294" s="242" t="str">
        <f aca="false">IFERROR(VLOOKUP($B294,'Institution Evaluation'!$A$55:$F$346,4,0),IFERROR(VLOOKUP($B294,'Privacy Analyst Evaluation'!$A$46:$F$120,4,0),""))&amp;""</f>
        <v/>
      </c>
      <c r="F294" s="242" t="str">
        <f aca="false">IFERROR(VLOOKUP($B294,'Institution Evaluation'!$A$55:$F$346,6,0),IFERROR(VLOOKUP($B294,'Privacy Analyst Evaluation'!$A$46:$F$120,6,0),""))&amp;""</f>
        <v/>
      </c>
      <c r="G294" s="243"/>
      <c r="H294" s="242" t="str">
        <f aca="false">IFERROR(IF($H293+1&gt;'(backend scoring)'!$Q$335,"",$H293+1),"")</f>
        <v/>
      </c>
      <c r="I294" s="242" t="str">
        <f aca="false">_xlfn.XLOOKUP($H294,'(backend scoring)'!$S$2:$S$333,'(backend scoring)'!$A$2:$A$333,"")</f>
        <v/>
      </c>
      <c r="J294" s="242" t="str">
        <f aca="false">IFERROR(VLOOKUP($I294,'Institution Evaluation'!$A$55:$F$346,2,0),IFERROR(VLOOKUP($I294,'Privacy Analyst Evaluation'!$A$46:$F$120,2,0),""))</f>
        <v/>
      </c>
      <c r="K294" s="242" t="str">
        <f aca="false">IFERROR(VLOOKUP($I294,'Institution Evaluation'!$A$55:$F$346,3,0),IFERROR(VLOOKUP($I294,'Privacy Analyst Evaluation'!$A$46:$F$120,3,0),""))&amp;""</f>
        <v/>
      </c>
      <c r="L294" s="242" t="str">
        <f aca="false">IFERROR(VLOOKUP($I294,'Institution Evaluation'!$A$55:$F$346,4,0),IFERROR(VLOOKUP($I294,'Privacy Analyst Evaluation'!$A$46:$F$120,4,0),""))&amp;""</f>
        <v/>
      </c>
      <c r="M294" s="242" t="str">
        <f aca="false">IFERROR(VLOOKUP($I294,'Institution Evaluation'!$A$55:$F$346,6,0),IFERROR(VLOOKUP($I294,'Privacy Analyst Evaluation'!$A$46:$F$120,6,0),""))&amp;""</f>
        <v/>
      </c>
    </row>
    <row r="295" customFormat="false" ht="15" hidden="false" customHeight="false" outlineLevel="0" collapsed="false">
      <c r="A295" s="242" t="str">
        <f aca="false">IFERROR(IF($A294+1&gt;'(backend scoring)'!$T$335,"",$A294+1),"")</f>
        <v/>
      </c>
      <c r="B295" s="242" t="str">
        <f aca="false">_xlfn.XLOOKUP($A295,'(backend scoring)'!$V$2:$V$333,'(backend scoring)'!$A$2:$A$333,"")</f>
        <v/>
      </c>
      <c r="C295" s="242" t="str">
        <f aca="false">IFERROR(VLOOKUP($B295,'Institution Evaluation'!$A$55:$F$346,2,0),IFERROR(VLOOKUP($B295,'Privacy Analyst Evaluation'!$A$46:$F$120,2,0),""))&amp;""</f>
        <v/>
      </c>
      <c r="D295" s="242" t="str">
        <f aca="false">IFERROR(VLOOKUP($B295,'Institution Evaluation'!$A$55:$F$346,3,0),IFERROR(VLOOKUP($B295,'Privacy Analyst Evaluation'!$A$46:$F$120,3,0),""))&amp;""</f>
        <v/>
      </c>
      <c r="E295" s="242" t="str">
        <f aca="false">IFERROR(VLOOKUP($B295,'Institution Evaluation'!$A$55:$F$346,4,0),IFERROR(VLOOKUP($B295,'Privacy Analyst Evaluation'!$A$46:$F$120,4,0),""))&amp;""</f>
        <v/>
      </c>
      <c r="F295" s="242" t="str">
        <f aca="false">IFERROR(VLOOKUP($B295,'Institution Evaluation'!$A$55:$F$346,6,0),IFERROR(VLOOKUP($B295,'Privacy Analyst Evaluation'!$A$46:$F$120,6,0),""))&amp;""</f>
        <v/>
      </c>
      <c r="G295" s="243"/>
      <c r="H295" s="242" t="str">
        <f aca="false">IFERROR(IF($H294+1&gt;'(backend scoring)'!$Q$335,"",$H294+1),"")</f>
        <v/>
      </c>
      <c r="I295" s="242" t="str">
        <f aca="false">_xlfn.XLOOKUP($H295,'(backend scoring)'!$S$2:$S$333,'(backend scoring)'!$A$2:$A$333,"")</f>
        <v/>
      </c>
      <c r="J295" s="242" t="str">
        <f aca="false">IFERROR(VLOOKUP($I295,'Institution Evaluation'!$A$55:$F$346,2,0),IFERROR(VLOOKUP($I295,'Privacy Analyst Evaluation'!$A$46:$F$120,2,0),""))</f>
        <v/>
      </c>
      <c r="K295" s="242" t="str">
        <f aca="false">IFERROR(VLOOKUP($I295,'Institution Evaluation'!$A$55:$F$346,3,0),IFERROR(VLOOKUP($I295,'Privacy Analyst Evaluation'!$A$46:$F$120,3,0),""))&amp;""</f>
        <v/>
      </c>
      <c r="L295" s="242" t="str">
        <f aca="false">IFERROR(VLOOKUP($I295,'Institution Evaluation'!$A$55:$F$346,4,0),IFERROR(VLOOKUP($I295,'Privacy Analyst Evaluation'!$A$46:$F$120,4,0),""))&amp;""</f>
        <v/>
      </c>
      <c r="M295" s="242" t="str">
        <f aca="false">IFERROR(VLOOKUP($I295,'Institution Evaluation'!$A$55:$F$346,6,0),IFERROR(VLOOKUP($I295,'Privacy Analyst Evaluation'!$A$46:$F$120,6,0),""))&amp;""</f>
        <v/>
      </c>
    </row>
    <row r="296" customFormat="false" ht="15" hidden="false" customHeight="false" outlineLevel="0" collapsed="false">
      <c r="A296" s="242" t="str">
        <f aca="false">IFERROR(IF($A295+1&gt;'(backend scoring)'!$T$335,"",$A295+1),"")</f>
        <v/>
      </c>
      <c r="B296" s="242" t="str">
        <f aca="false">_xlfn.XLOOKUP($A296,'(backend scoring)'!$V$2:$V$333,'(backend scoring)'!$A$2:$A$333,"")</f>
        <v/>
      </c>
      <c r="C296" s="242" t="str">
        <f aca="false">IFERROR(VLOOKUP($B296,'Institution Evaluation'!$A$55:$F$346,2,0),IFERROR(VLOOKUP($B296,'Privacy Analyst Evaluation'!$A$46:$F$120,2,0),""))&amp;""</f>
        <v/>
      </c>
      <c r="D296" s="242" t="str">
        <f aca="false">IFERROR(VLOOKUP($B296,'Institution Evaluation'!$A$55:$F$346,3,0),IFERROR(VLOOKUP($B296,'Privacy Analyst Evaluation'!$A$46:$F$120,3,0),""))&amp;""</f>
        <v/>
      </c>
      <c r="E296" s="242" t="str">
        <f aca="false">IFERROR(VLOOKUP($B296,'Institution Evaluation'!$A$55:$F$346,4,0),IFERROR(VLOOKUP($B296,'Privacy Analyst Evaluation'!$A$46:$F$120,4,0),""))&amp;""</f>
        <v/>
      </c>
      <c r="F296" s="242" t="str">
        <f aca="false">IFERROR(VLOOKUP($B296,'Institution Evaluation'!$A$55:$F$346,6,0),IFERROR(VLOOKUP($B296,'Privacy Analyst Evaluation'!$A$46:$F$120,6,0),""))&amp;""</f>
        <v/>
      </c>
      <c r="G296" s="243"/>
      <c r="H296" s="242" t="str">
        <f aca="false">IFERROR(IF($H295+1&gt;'(backend scoring)'!$Q$335,"",$H295+1),"")</f>
        <v/>
      </c>
      <c r="I296" s="242" t="str">
        <f aca="false">_xlfn.XLOOKUP($H296,'(backend scoring)'!$S$2:$S$333,'(backend scoring)'!$A$2:$A$333,"")</f>
        <v/>
      </c>
      <c r="J296" s="242" t="str">
        <f aca="false">IFERROR(VLOOKUP($I296,'Institution Evaluation'!$A$55:$F$346,2,0),IFERROR(VLOOKUP($I296,'Privacy Analyst Evaluation'!$A$46:$F$120,2,0),""))</f>
        <v/>
      </c>
      <c r="K296" s="242" t="str">
        <f aca="false">IFERROR(VLOOKUP($I296,'Institution Evaluation'!$A$55:$F$346,3,0),IFERROR(VLOOKUP($I296,'Privacy Analyst Evaluation'!$A$46:$F$120,3,0),""))&amp;""</f>
        <v/>
      </c>
      <c r="L296" s="242" t="str">
        <f aca="false">IFERROR(VLOOKUP($I296,'Institution Evaluation'!$A$55:$F$346,4,0),IFERROR(VLOOKUP($I296,'Privacy Analyst Evaluation'!$A$46:$F$120,4,0),""))&amp;""</f>
        <v/>
      </c>
      <c r="M296" s="242" t="str">
        <f aca="false">IFERROR(VLOOKUP($I296,'Institution Evaluation'!$A$55:$F$346,6,0),IFERROR(VLOOKUP($I296,'Privacy Analyst Evaluation'!$A$46:$F$120,6,0),""))&amp;""</f>
        <v/>
      </c>
    </row>
    <row r="297" customFormat="false" ht="15" hidden="false" customHeight="false" outlineLevel="0" collapsed="false">
      <c r="A297" s="242" t="str">
        <f aca="false">IFERROR(IF($A296+1&gt;'(backend scoring)'!$T$335,"",$A296+1),"")</f>
        <v/>
      </c>
      <c r="B297" s="242" t="str">
        <f aca="false">_xlfn.XLOOKUP($A297,'(backend scoring)'!$V$2:$V$333,'(backend scoring)'!$A$2:$A$333,"")</f>
        <v/>
      </c>
      <c r="C297" s="242" t="str">
        <f aca="false">IFERROR(VLOOKUP($B297,'Institution Evaluation'!$A$55:$F$346,2,0),IFERROR(VLOOKUP($B297,'Privacy Analyst Evaluation'!$A$46:$F$120,2,0),""))&amp;""</f>
        <v/>
      </c>
      <c r="D297" s="242" t="str">
        <f aca="false">IFERROR(VLOOKUP($B297,'Institution Evaluation'!$A$55:$F$346,3,0),IFERROR(VLOOKUP($B297,'Privacy Analyst Evaluation'!$A$46:$F$120,3,0),""))&amp;""</f>
        <v/>
      </c>
      <c r="E297" s="242" t="str">
        <f aca="false">IFERROR(VLOOKUP($B297,'Institution Evaluation'!$A$55:$F$346,4,0),IFERROR(VLOOKUP($B297,'Privacy Analyst Evaluation'!$A$46:$F$120,4,0),""))&amp;""</f>
        <v/>
      </c>
      <c r="F297" s="242" t="str">
        <f aca="false">IFERROR(VLOOKUP($B297,'Institution Evaluation'!$A$55:$F$346,6,0),IFERROR(VLOOKUP($B297,'Privacy Analyst Evaluation'!$A$46:$F$120,6,0),""))&amp;""</f>
        <v/>
      </c>
      <c r="G297" s="243"/>
      <c r="H297" s="242" t="str">
        <f aca="false">IFERROR(IF($H296+1&gt;'(backend scoring)'!$Q$335,"",$H296+1),"")</f>
        <v/>
      </c>
      <c r="I297" s="242" t="str">
        <f aca="false">_xlfn.XLOOKUP($H297,'(backend scoring)'!$S$2:$S$333,'(backend scoring)'!$A$2:$A$333,"")</f>
        <v/>
      </c>
      <c r="J297" s="242" t="str">
        <f aca="false">IFERROR(VLOOKUP($I297,'Institution Evaluation'!$A$55:$F$346,2,0),IFERROR(VLOOKUP($I297,'Privacy Analyst Evaluation'!$A$46:$F$120,2,0),""))</f>
        <v/>
      </c>
      <c r="K297" s="242" t="str">
        <f aca="false">IFERROR(VLOOKUP($I297,'Institution Evaluation'!$A$55:$F$346,3,0),IFERROR(VLOOKUP($I297,'Privacy Analyst Evaluation'!$A$46:$F$120,3,0),""))&amp;""</f>
        <v/>
      </c>
      <c r="L297" s="242" t="str">
        <f aca="false">IFERROR(VLOOKUP($I297,'Institution Evaluation'!$A$55:$F$346,4,0),IFERROR(VLOOKUP($I297,'Privacy Analyst Evaluation'!$A$46:$F$120,4,0),""))&amp;""</f>
        <v/>
      </c>
      <c r="M297" s="242" t="str">
        <f aca="false">IFERROR(VLOOKUP($I297,'Institution Evaluation'!$A$55:$F$346,6,0),IFERROR(VLOOKUP($I297,'Privacy Analyst Evaluation'!$A$46:$F$120,6,0),""))&amp;""</f>
        <v/>
      </c>
    </row>
    <row r="298" customFormat="false" ht="15" hidden="false" customHeight="false" outlineLevel="0" collapsed="false">
      <c r="A298" s="242" t="str">
        <f aca="false">IFERROR(IF($A297+1&gt;'(backend scoring)'!$T$335,"",$A297+1),"")</f>
        <v/>
      </c>
      <c r="B298" s="242" t="str">
        <f aca="false">_xlfn.XLOOKUP($A298,'(backend scoring)'!$V$2:$V$333,'(backend scoring)'!$A$2:$A$333,"")</f>
        <v/>
      </c>
      <c r="C298" s="242" t="str">
        <f aca="false">IFERROR(VLOOKUP($B298,'Institution Evaluation'!$A$55:$F$346,2,0),IFERROR(VLOOKUP($B298,'Privacy Analyst Evaluation'!$A$46:$F$120,2,0),""))&amp;""</f>
        <v/>
      </c>
      <c r="D298" s="242" t="str">
        <f aca="false">IFERROR(VLOOKUP($B298,'Institution Evaluation'!$A$55:$F$346,3,0),IFERROR(VLOOKUP($B298,'Privacy Analyst Evaluation'!$A$46:$F$120,3,0),""))&amp;""</f>
        <v/>
      </c>
      <c r="E298" s="242" t="str">
        <f aca="false">IFERROR(VLOOKUP($B298,'Institution Evaluation'!$A$55:$F$346,4,0),IFERROR(VLOOKUP($B298,'Privacy Analyst Evaluation'!$A$46:$F$120,4,0),""))&amp;""</f>
        <v/>
      </c>
      <c r="F298" s="242" t="str">
        <f aca="false">IFERROR(VLOOKUP($B298,'Institution Evaluation'!$A$55:$F$346,6,0),IFERROR(VLOOKUP($B298,'Privacy Analyst Evaluation'!$A$46:$F$120,6,0),""))&amp;""</f>
        <v/>
      </c>
      <c r="G298" s="243"/>
      <c r="H298" s="242" t="str">
        <f aca="false">IFERROR(IF($H297+1&gt;'(backend scoring)'!$Q$335,"",$H297+1),"")</f>
        <v/>
      </c>
      <c r="I298" s="242" t="str">
        <f aca="false">_xlfn.XLOOKUP($H298,'(backend scoring)'!$S$2:$S$333,'(backend scoring)'!$A$2:$A$333,"")</f>
        <v/>
      </c>
      <c r="J298" s="242" t="str">
        <f aca="false">IFERROR(VLOOKUP($I298,'Institution Evaluation'!$A$55:$F$346,2,0),IFERROR(VLOOKUP($I298,'Privacy Analyst Evaluation'!$A$46:$F$120,2,0),""))</f>
        <v/>
      </c>
      <c r="K298" s="242" t="str">
        <f aca="false">IFERROR(VLOOKUP($I298,'Institution Evaluation'!$A$55:$F$346,3,0),IFERROR(VLOOKUP($I298,'Privacy Analyst Evaluation'!$A$46:$F$120,3,0),""))&amp;""</f>
        <v/>
      </c>
      <c r="L298" s="242" t="str">
        <f aca="false">IFERROR(VLOOKUP($I298,'Institution Evaluation'!$A$55:$F$346,4,0),IFERROR(VLOOKUP($I298,'Privacy Analyst Evaluation'!$A$46:$F$120,4,0),""))&amp;""</f>
        <v/>
      </c>
      <c r="M298" s="242" t="str">
        <f aca="false">IFERROR(VLOOKUP($I298,'Institution Evaluation'!$A$55:$F$346,6,0),IFERROR(VLOOKUP($I298,'Privacy Analyst Evaluation'!$A$46:$F$120,6,0),""))&amp;""</f>
        <v/>
      </c>
    </row>
    <row r="299" customFormat="false" ht="15" hidden="false" customHeight="false" outlineLevel="0" collapsed="false">
      <c r="A299" s="242" t="str">
        <f aca="false">IFERROR(IF($A298+1&gt;'(backend scoring)'!$T$335,"",$A298+1),"")</f>
        <v/>
      </c>
      <c r="B299" s="242" t="str">
        <f aca="false">_xlfn.XLOOKUP($A299,'(backend scoring)'!$V$2:$V$333,'(backend scoring)'!$A$2:$A$333,"")</f>
        <v/>
      </c>
      <c r="C299" s="242" t="str">
        <f aca="false">IFERROR(VLOOKUP($B299,'Institution Evaluation'!$A$55:$F$346,2,0),IFERROR(VLOOKUP($B299,'Privacy Analyst Evaluation'!$A$46:$F$120,2,0),""))&amp;""</f>
        <v/>
      </c>
      <c r="D299" s="242" t="str">
        <f aca="false">IFERROR(VLOOKUP($B299,'Institution Evaluation'!$A$55:$F$346,3,0),IFERROR(VLOOKUP($B299,'Privacy Analyst Evaluation'!$A$46:$F$120,3,0),""))&amp;""</f>
        <v/>
      </c>
      <c r="E299" s="242" t="str">
        <f aca="false">IFERROR(VLOOKUP($B299,'Institution Evaluation'!$A$55:$F$346,4,0),IFERROR(VLOOKUP($B299,'Privacy Analyst Evaluation'!$A$46:$F$120,4,0),""))&amp;""</f>
        <v/>
      </c>
      <c r="F299" s="242" t="str">
        <f aca="false">IFERROR(VLOOKUP($B299,'Institution Evaluation'!$A$55:$F$346,6,0),IFERROR(VLOOKUP($B299,'Privacy Analyst Evaluation'!$A$46:$F$120,6,0),""))&amp;""</f>
        <v/>
      </c>
      <c r="G299" s="243"/>
      <c r="H299" s="242" t="str">
        <f aca="false">IFERROR(IF($H298+1&gt;'(backend scoring)'!$Q$335,"",$H298+1),"")</f>
        <v/>
      </c>
      <c r="I299" s="242" t="str">
        <f aca="false">_xlfn.XLOOKUP($H299,'(backend scoring)'!$S$2:$S$333,'(backend scoring)'!$A$2:$A$333,"")</f>
        <v/>
      </c>
      <c r="J299" s="242" t="str">
        <f aca="false">IFERROR(VLOOKUP($I299,'Institution Evaluation'!$A$55:$F$346,2,0),IFERROR(VLOOKUP($I299,'Privacy Analyst Evaluation'!$A$46:$F$120,2,0),""))</f>
        <v/>
      </c>
      <c r="K299" s="242" t="str">
        <f aca="false">IFERROR(VLOOKUP($I299,'Institution Evaluation'!$A$55:$F$346,3,0),IFERROR(VLOOKUP($I299,'Privacy Analyst Evaluation'!$A$46:$F$120,3,0),""))&amp;""</f>
        <v/>
      </c>
      <c r="L299" s="242" t="str">
        <f aca="false">IFERROR(VLOOKUP($I299,'Institution Evaluation'!$A$55:$F$346,4,0),IFERROR(VLOOKUP($I299,'Privacy Analyst Evaluation'!$A$46:$F$120,4,0),""))&amp;""</f>
        <v/>
      </c>
      <c r="M299" s="242" t="str">
        <f aca="false">IFERROR(VLOOKUP($I299,'Institution Evaluation'!$A$55:$F$346,6,0),IFERROR(VLOOKUP($I299,'Privacy Analyst Evaluation'!$A$46:$F$120,6,0),""))&amp;""</f>
        <v/>
      </c>
    </row>
    <row r="300" customFormat="false" ht="15" hidden="false" customHeight="false" outlineLevel="0" collapsed="false">
      <c r="A300" s="242" t="str">
        <f aca="false">IFERROR(IF($A299+1&gt;'(backend scoring)'!$T$335,"",$A299+1),"")</f>
        <v/>
      </c>
      <c r="B300" s="242" t="str">
        <f aca="false">_xlfn.XLOOKUP($A300,'(backend scoring)'!$V$2:$V$333,'(backend scoring)'!$A$2:$A$333,"")</f>
        <v/>
      </c>
      <c r="C300" s="242" t="str">
        <f aca="false">IFERROR(VLOOKUP($B300,'Institution Evaluation'!$A$55:$F$346,2,0),IFERROR(VLOOKUP($B300,'Privacy Analyst Evaluation'!$A$46:$F$120,2,0),""))&amp;""</f>
        <v/>
      </c>
      <c r="D300" s="242" t="str">
        <f aca="false">IFERROR(VLOOKUP($B300,'Institution Evaluation'!$A$55:$F$346,3,0),IFERROR(VLOOKUP($B300,'Privacy Analyst Evaluation'!$A$46:$F$120,3,0),""))&amp;""</f>
        <v/>
      </c>
      <c r="E300" s="242" t="str">
        <f aca="false">IFERROR(VLOOKUP($B300,'Institution Evaluation'!$A$55:$F$346,4,0),IFERROR(VLOOKUP($B300,'Privacy Analyst Evaluation'!$A$46:$F$120,4,0),""))&amp;""</f>
        <v/>
      </c>
      <c r="F300" s="242" t="str">
        <f aca="false">IFERROR(VLOOKUP($B300,'Institution Evaluation'!$A$55:$F$346,6,0),IFERROR(VLOOKUP($B300,'Privacy Analyst Evaluation'!$A$46:$F$120,6,0),""))&amp;""</f>
        <v/>
      </c>
      <c r="G300" s="243"/>
      <c r="H300" s="242" t="str">
        <f aca="false">IFERROR(IF($H299+1&gt;'(backend scoring)'!$Q$335,"",$H299+1),"")</f>
        <v/>
      </c>
      <c r="I300" s="242" t="str">
        <f aca="false">_xlfn.XLOOKUP($H300,'(backend scoring)'!$S$2:$S$333,'(backend scoring)'!$A$2:$A$333,"")</f>
        <v/>
      </c>
      <c r="J300" s="242" t="str">
        <f aca="false">IFERROR(VLOOKUP($I300,'Institution Evaluation'!$A$55:$F$346,2,0),IFERROR(VLOOKUP($I300,'Privacy Analyst Evaluation'!$A$46:$F$120,2,0),""))</f>
        <v/>
      </c>
      <c r="K300" s="242" t="str">
        <f aca="false">IFERROR(VLOOKUP($I300,'Institution Evaluation'!$A$55:$F$346,3,0),IFERROR(VLOOKUP($I300,'Privacy Analyst Evaluation'!$A$46:$F$120,3,0),""))&amp;""</f>
        <v/>
      </c>
      <c r="L300" s="242" t="str">
        <f aca="false">IFERROR(VLOOKUP($I300,'Institution Evaluation'!$A$55:$F$346,4,0),IFERROR(VLOOKUP($I300,'Privacy Analyst Evaluation'!$A$46:$F$120,4,0),""))&amp;""</f>
        <v/>
      </c>
      <c r="M300" s="242" t="str">
        <f aca="false">IFERROR(VLOOKUP($I300,'Institution Evaluation'!$A$55:$F$346,6,0),IFERROR(VLOOKUP($I300,'Privacy Analyst Evaluation'!$A$46:$F$120,6,0),""))&amp;""</f>
        <v/>
      </c>
    </row>
    <row r="301" customFormat="false" ht="15" hidden="false" customHeight="false" outlineLevel="0" collapsed="false">
      <c r="A301" s="242" t="str">
        <f aca="false">IFERROR(IF($A300+1&gt;'(backend scoring)'!$T$335,"",$A300+1),"")</f>
        <v/>
      </c>
      <c r="B301" s="242" t="str">
        <f aca="false">_xlfn.XLOOKUP($A301,'(backend scoring)'!$V$2:$V$333,'(backend scoring)'!$A$2:$A$333,"")</f>
        <v/>
      </c>
      <c r="C301" s="242" t="str">
        <f aca="false">IFERROR(VLOOKUP($B301,'Institution Evaluation'!$A$55:$F$346,2,0),IFERROR(VLOOKUP($B301,'Privacy Analyst Evaluation'!$A$46:$F$120,2,0),""))&amp;""</f>
        <v/>
      </c>
      <c r="D301" s="242" t="str">
        <f aca="false">IFERROR(VLOOKUP($B301,'Institution Evaluation'!$A$55:$F$346,3,0),IFERROR(VLOOKUP($B301,'Privacy Analyst Evaluation'!$A$46:$F$120,3,0),""))&amp;""</f>
        <v/>
      </c>
      <c r="E301" s="242" t="str">
        <f aca="false">IFERROR(VLOOKUP($B301,'Institution Evaluation'!$A$55:$F$346,4,0),IFERROR(VLOOKUP($B301,'Privacy Analyst Evaluation'!$A$46:$F$120,4,0),""))&amp;""</f>
        <v/>
      </c>
      <c r="F301" s="242" t="str">
        <f aca="false">IFERROR(VLOOKUP($B301,'Institution Evaluation'!$A$55:$F$346,6,0),IFERROR(VLOOKUP($B301,'Privacy Analyst Evaluation'!$A$46:$F$120,6,0),""))&amp;""</f>
        <v/>
      </c>
      <c r="G301" s="243"/>
      <c r="H301" s="242" t="str">
        <f aca="false">IFERROR(IF($H300+1&gt;'(backend scoring)'!$Q$335,"",$H300+1),"")</f>
        <v/>
      </c>
      <c r="I301" s="242" t="str">
        <f aca="false">_xlfn.XLOOKUP($H301,'(backend scoring)'!$S$2:$S$333,'(backend scoring)'!$A$2:$A$333,"")</f>
        <v/>
      </c>
      <c r="J301" s="242" t="str">
        <f aca="false">IFERROR(VLOOKUP($I301,'Institution Evaluation'!$A$55:$F$346,2,0),IFERROR(VLOOKUP($I301,'Privacy Analyst Evaluation'!$A$46:$F$120,2,0),""))</f>
        <v/>
      </c>
      <c r="K301" s="242" t="str">
        <f aca="false">IFERROR(VLOOKUP($I301,'Institution Evaluation'!$A$55:$F$346,3,0),IFERROR(VLOOKUP($I301,'Privacy Analyst Evaluation'!$A$46:$F$120,3,0),""))&amp;""</f>
        <v/>
      </c>
      <c r="L301" s="242" t="str">
        <f aca="false">IFERROR(VLOOKUP($I301,'Institution Evaluation'!$A$55:$F$346,4,0),IFERROR(VLOOKUP($I301,'Privacy Analyst Evaluation'!$A$46:$F$120,4,0),""))&amp;""</f>
        <v/>
      </c>
      <c r="M301" s="242" t="str">
        <f aca="false">IFERROR(VLOOKUP($I301,'Institution Evaluation'!$A$55:$F$346,6,0),IFERROR(VLOOKUP($I301,'Privacy Analyst Evaluation'!$A$46:$F$120,6,0),""))&amp;""</f>
        <v/>
      </c>
    </row>
    <row r="302" customFormat="false" ht="15" hidden="false" customHeight="false" outlineLevel="0" collapsed="false">
      <c r="A302" s="242" t="str">
        <f aca="false">IFERROR(IF($A301+1&gt;'(backend scoring)'!$T$335,"",$A301+1),"")</f>
        <v/>
      </c>
      <c r="B302" s="242" t="str">
        <f aca="false">_xlfn.XLOOKUP($A302,'(backend scoring)'!$V$2:$V$333,'(backend scoring)'!$A$2:$A$333,"")</f>
        <v/>
      </c>
      <c r="C302" s="242" t="str">
        <f aca="false">IFERROR(VLOOKUP($B302,'Institution Evaluation'!$A$55:$F$346,2,0),IFERROR(VLOOKUP($B302,'Privacy Analyst Evaluation'!$A$46:$F$120,2,0),""))&amp;""</f>
        <v/>
      </c>
      <c r="D302" s="242" t="str">
        <f aca="false">IFERROR(VLOOKUP($B302,'Institution Evaluation'!$A$55:$F$346,3,0),IFERROR(VLOOKUP($B302,'Privacy Analyst Evaluation'!$A$46:$F$120,3,0),""))&amp;""</f>
        <v/>
      </c>
      <c r="E302" s="242" t="str">
        <f aca="false">IFERROR(VLOOKUP($B302,'Institution Evaluation'!$A$55:$F$346,4,0),IFERROR(VLOOKUP($B302,'Privacy Analyst Evaluation'!$A$46:$F$120,4,0),""))&amp;""</f>
        <v/>
      </c>
      <c r="F302" s="242" t="str">
        <f aca="false">IFERROR(VLOOKUP($B302,'Institution Evaluation'!$A$55:$F$346,6,0),IFERROR(VLOOKUP($B302,'Privacy Analyst Evaluation'!$A$46:$F$120,6,0),""))&amp;""</f>
        <v/>
      </c>
      <c r="G302" s="243"/>
      <c r="H302" s="242" t="str">
        <f aca="false">IFERROR(IF($H301+1&gt;'(backend scoring)'!$Q$335,"",$H301+1),"")</f>
        <v/>
      </c>
      <c r="I302" s="242" t="str">
        <f aca="false">_xlfn.XLOOKUP($H302,'(backend scoring)'!$S$2:$S$333,'(backend scoring)'!$A$2:$A$333,"")</f>
        <v/>
      </c>
      <c r="J302" s="242" t="str">
        <f aca="false">IFERROR(VLOOKUP($I302,'Institution Evaluation'!$A$55:$F$346,2,0),IFERROR(VLOOKUP($I302,'Privacy Analyst Evaluation'!$A$46:$F$120,2,0),""))</f>
        <v/>
      </c>
      <c r="K302" s="242" t="str">
        <f aca="false">IFERROR(VLOOKUP($I302,'Institution Evaluation'!$A$55:$F$346,3,0),IFERROR(VLOOKUP($I302,'Privacy Analyst Evaluation'!$A$46:$F$120,3,0),""))&amp;""</f>
        <v/>
      </c>
      <c r="L302" s="242" t="str">
        <f aca="false">IFERROR(VLOOKUP($I302,'Institution Evaluation'!$A$55:$F$346,4,0),IFERROR(VLOOKUP($I302,'Privacy Analyst Evaluation'!$A$46:$F$120,4,0),""))&amp;""</f>
        <v/>
      </c>
      <c r="M302" s="242" t="str">
        <f aca="false">IFERROR(VLOOKUP($I302,'Institution Evaluation'!$A$55:$F$346,6,0),IFERROR(VLOOKUP($I302,'Privacy Analyst Evaluation'!$A$46:$F$120,6,0),""))&amp;""</f>
        <v/>
      </c>
    </row>
    <row r="303" customFormat="false" ht="15" hidden="false" customHeight="false" outlineLevel="0" collapsed="false">
      <c r="A303" s="242" t="str">
        <f aca="false">IFERROR(IF($A302+1&gt;'(backend scoring)'!$T$335,"",$A302+1),"")</f>
        <v/>
      </c>
      <c r="B303" s="242" t="str">
        <f aca="false">_xlfn.XLOOKUP($A303,'(backend scoring)'!$V$2:$V$333,'(backend scoring)'!$A$2:$A$333,"")</f>
        <v/>
      </c>
      <c r="C303" s="242" t="str">
        <f aca="false">IFERROR(VLOOKUP($B303,'Institution Evaluation'!$A$55:$F$346,2,0),IFERROR(VLOOKUP($B303,'Privacy Analyst Evaluation'!$A$46:$F$120,2,0),""))&amp;""</f>
        <v/>
      </c>
      <c r="D303" s="242" t="str">
        <f aca="false">IFERROR(VLOOKUP($B303,'Institution Evaluation'!$A$55:$F$346,3,0),IFERROR(VLOOKUP($B303,'Privacy Analyst Evaluation'!$A$46:$F$120,3,0),""))&amp;""</f>
        <v/>
      </c>
      <c r="E303" s="242" t="str">
        <f aca="false">IFERROR(VLOOKUP($B303,'Institution Evaluation'!$A$55:$F$346,4,0),IFERROR(VLOOKUP($B303,'Privacy Analyst Evaluation'!$A$46:$F$120,4,0),""))&amp;""</f>
        <v/>
      </c>
      <c r="F303" s="242" t="str">
        <f aca="false">IFERROR(VLOOKUP($B303,'Institution Evaluation'!$A$55:$F$346,6,0),IFERROR(VLOOKUP($B303,'Privacy Analyst Evaluation'!$A$46:$F$120,6,0),""))&amp;""</f>
        <v/>
      </c>
      <c r="G303" s="243"/>
      <c r="H303" s="242" t="str">
        <f aca="false">IFERROR(IF($H302+1&gt;'(backend scoring)'!$Q$335,"",$H302+1),"")</f>
        <v/>
      </c>
      <c r="I303" s="242" t="str">
        <f aca="false">_xlfn.XLOOKUP($H303,'(backend scoring)'!$S$2:$S$333,'(backend scoring)'!$A$2:$A$333,"")</f>
        <v/>
      </c>
      <c r="J303" s="242" t="str">
        <f aca="false">IFERROR(VLOOKUP($I303,'Institution Evaluation'!$A$55:$F$346,2,0),IFERROR(VLOOKUP($I303,'Privacy Analyst Evaluation'!$A$46:$F$120,2,0),""))</f>
        <v/>
      </c>
      <c r="K303" s="242" t="str">
        <f aca="false">IFERROR(VLOOKUP($I303,'Institution Evaluation'!$A$55:$F$346,3,0),IFERROR(VLOOKUP($I303,'Privacy Analyst Evaluation'!$A$46:$F$120,3,0),""))&amp;""</f>
        <v/>
      </c>
      <c r="L303" s="242" t="str">
        <f aca="false">IFERROR(VLOOKUP($I303,'Institution Evaluation'!$A$55:$F$346,4,0),IFERROR(VLOOKUP($I303,'Privacy Analyst Evaluation'!$A$46:$F$120,4,0),""))&amp;""</f>
        <v/>
      </c>
      <c r="M303" s="242" t="str">
        <f aca="false">IFERROR(VLOOKUP($I303,'Institution Evaluation'!$A$55:$F$346,6,0),IFERROR(VLOOKUP($I303,'Privacy Analyst Evaluation'!$A$46:$F$120,6,0),""))&amp;""</f>
        <v/>
      </c>
    </row>
    <row r="304" customFormat="false" ht="15" hidden="false" customHeight="false" outlineLevel="0" collapsed="false">
      <c r="A304" s="242" t="str">
        <f aca="false">IFERROR(IF($A303+1&gt;'(backend scoring)'!$T$335,"",$A303+1),"")</f>
        <v/>
      </c>
      <c r="B304" s="242" t="str">
        <f aca="false">_xlfn.XLOOKUP($A304,'(backend scoring)'!$V$2:$V$333,'(backend scoring)'!$A$2:$A$333,"")</f>
        <v/>
      </c>
      <c r="C304" s="242" t="str">
        <f aca="false">IFERROR(VLOOKUP($B304,'Institution Evaluation'!$A$55:$F$346,2,0),IFERROR(VLOOKUP($B304,'Privacy Analyst Evaluation'!$A$46:$F$120,2,0),""))&amp;""</f>
        <v/>
      </c>
      <c r="D304" s="242" t="str">
        <f aca="false">IFERROR(VLOOKUP($B304,'Institution Evaluation'!$A$55:$F$346,3,0),IFERROR(VLOOKUP($B304,'Privacy Analyst Evaluation'!$A$46:$F$120,3,0),""))&amp;""</f>
        <v/>
      </c>
      <c r="E304" s="242" t="str">
        <f aca="false">IFERROR(VLOOKUP($B304,'Institution Evaluation'!$A$55:$F$346,4,0),IFERROR(VLOOKUP($B304,'Privacy Analyst Evaluation'!$A$46:$F$120,4,0),""))&amp;""</f>
        <v/>
      </c>
      <c r="F304" s="242" t="str">
        <f aca="false">IFERROR(VLOOKUP($B304,'Institution Evaluation'!$A$55:$F$346,6,0),IFERROR(VLOOKUP($B304,'Privacy Analyst Evaluation'!$A$46:$F$120,6,0),""))&amp;""</f>
        <v/>
      </c>
      <c r="G304" s="243"/>
      <c r="H304" s="242" t="str">
        <f aca="false">IFERROR(IF($H303+1&gt;'(backend scoring)'!$Q$335,"",$H303+1),"")</f>
        <v/>
      </c>
      <c r="I304" s="242" t="str">
        <f aca="false">_xlfn.XLOOKUP($H304,'(backend scoring)'!$S$2:$S$333,'(backend scoring)'!$A$2:$A$333,"")</f>
        <v/>
      </c>
      <c r="J304" s="242" t="str">
        <f aca="false">IFERROR(VLOOKUP($I304,'Institution Evaluation'!$A$55:$F$346,2,0),IFERROR(VLOOKUP($I304,'Privacy Analyst Evaluation'!$A$46:$F$120,2,0),""))</f>
        <v/>
      </c>
      <c r="K304" s="242" t="str">
        <f aca="false">IFERROR(VLOOKUP($I304,'Institution Evaluation'!$A$55:$F$346,3,0),IFERROR(VLOOKUP($I304,'Privacy Analyst Evaluation'!$A$46:$F$120,3,0),""))&amp;""</f>
        <v/>
      </c>
      <c r="L304" s="242" t="str">
        <f aca="false">IFERROR(VLOOKUP($I304,'Institution Evaluation'!$A$55:$F$346,4,0),IFERROR(VLOOKUP($I304,'Privacy Analyst Evaluation'!$A$46:$F$120,4,0),""))&amp;""</f>
        <v/>
      </c>
      <c r="M304" s="242" t="str">
        <f aca="false">IFERROR(VLOOKUP($I304,'Institution Evaluation'!$A$55:$F$346,6,0),IFERROR(VLOOKUP($I304,'Privacy Analyst Evaluation'!$A$46:$F$120,6,0),""))&amp;""</f>
        <v/>
      </c>
    </row>
    <row r="305" customFormat="false" ht="15" hidden="false" customHeight="false" outlineLevel="0" collapsed="false">
      <c r="A305" s="242" t="str">
        <f aca="false">IFERROR(IF($A304+1&gt;'(backend scoring)'!$T$335,"",$A304+1),"")</f>
        <v/>
      </c>
      <c r="B305" s="242" t="str">
        <f aca="false">_xlfn.XLOOKUP($A305,'(backend scoring)'!$V$2:$V$333,'(backend scoring)'!$A$2:$A$333,"")</f>
        <v/>
      </c>
      <c r="C305" s="242" t="str">
        <f aca="false">IFERROR(VLOOKUP($B305,'Institution Evaluation'!$A$55:$F$346,2,0),IFERROR(VLOOKUP($B305,'Privacy Analyst Evaluation'!$A$46:$F$120,2,0),""))&amp;""</f>
        <v/>
      </c>
      <c r="D305" s="242" t="str">
        <f aca="false">IFERROR(VLOOKUP($B305,'Institution Evaluation'!$A$55:$F$346,3,0),IFERROR(VLOOKUP($B305,'Privacy Analyst Evaluation'!$A$46:$F$120,3,0),""))&amp;""</f>
        <v/>
      </c>
      <c r="E305" s="242" t="str">
        <f aca="false">IFERROR(VLOOKUP($B305,'Institution Evaluation'!$A$55:$F$346,4,0),IFERROR(VLOOKUP($B305,'Privacy Analyst Evaluation'!$A$46:$F$120,4,0),""))&amp;""</f>
        <v/>
      </c>
      <c r="F305" s="242" t="str">
        <f aca="false">IFERROR(VLOOKUP($B305,'Institution Evaluation'!$A$55:$F$346,6,0),IFERROR(VLOOKUP($B305,'Privacy Analyst Evaluation'!$A$46:$F$120,6,0),""))&amp;""</f>
        <v/>
      </c>
      <c r="G305" s="243"/>
      <c r="H305" s="242" t="str">
        <f aca="false">IFERROR(IF($H304+1&gt;'(backend scoring)'!$Q$335,"",$H304+1),"")</f>
        <v/>
      </c>
      <c r="I305" s="242" t="str">
        <f aca="false">_xlfn.XLOOKUP($H305,'(backend scoring)'!$S$2:$S$333,'(backend scoring)'!$A$2:$A$333,"")</f>
        <v/>
      </c>
      <c r="J305" s="242" t="str">
        <f aca="false">IFERROR(VLOOKUP($I305,'Institution Evaluation'!$A$55:$F$346,2,0),IFERROR(VLOOKUP($I305,'Privacy Analyst Evaluation'!$A$46:$F$120,2,0),""))</f>
        <v/>
      </c>
      <c r="K305" s="242" t="str">
        <f aca="false">IFERROR(VLOOKUP($I305,'Institution Evaluation'!$A$55:$F$346,3,0),IFERROR(VLOOKUP($I305,'Privacy Analyst Evaluation'!$A$46:$F$120,3,0),""))&amp;""</f>
        <v/>
      </c>
      <c r="L305" s="242" t="str">
        <f aca="false">IFERROR(VLOOKUP($I305,'Institution Evaluation'!$A$55:$F$346,4,0),IFERROR(VLOOKUP($I305,'Privacy Analyst Evaluation'!$A$46:$F$120,4,0),""))&amp;""</f>
        <v/>
      </c>
      <c r="M305" s="242" t="str">
        <f aca="false">IFERROR(VLOOKUP($I305,'Institution Evaluation'!$A$55:$F$346,6,0),IFERROR(VLOOKUP($I305,'Privacy Analyst Evaluation'!$A$46:$F$120,6,0),""))&amp;""</f>
        <v/>
      </c>
    </row>
    <row r="306" customFormat="false" ht="15" hidden="false" customHeight="false" outlineLevel="0" collapsed="false">
      <c r="A306" s="242" t="str">
        <f aca="false">IFERROR(IF($A305+1&gt;'(backend scoring)'!$T$335,"",$A305+1),"")</f>
        <v/>
      </c>
      <c r="B306" s="242" t="str">
        <f aca="false">_xlfn.XLOOKUP($A306,'(backend scoring)'!$V$2:$V$333,'(backend scoring)'!$A$2:$A$333,"")</f>
        <v/>
      </c>
      <c r="C306" s="242" t="str">
        <f aca="false">IFERROR(VLOOKUP($B306,'Institution Evaluation'!$A$55:$F$346,2,0),IFERROR(VLOOKUP($B306,'Privacy Analyst Evaluation'!$A$46:$F$120,2,0),""))&amp;""</f>
        <v/>
      </c>
      <c r="D306" s="242" t="str">
        <f aca="false">IFERROR(VLOOKUP($B306,'Institution Evaluation'!$A$55:$F$346,3,0),IFERROR(VLOOKUP($B306,'Privacy Analyst Evaluation'!$A$46:$F$120,3,0),""))&amp;""</f>
        <v/>
      </c>
      <c r="E306" s="242" t="str">
        <f aca="false">IFERROR(VLOOKUP($B306,'Institution Evaluation'!$A$55:$F$346,4,0),IFERROR(VLOOKUP($B306,'Privacy Analyst Evaluation'!$A$46:$F$120,4,0),""))&amp;""</f>
        <v/>
      </c>
      <c r="F306" s="242" t="str">
        <f aca="false">IFERROR(VLOOKUP($B306,'Institution Evaluation'!$A$55:$F$346,6,0),IFERROR(VLOOKUP($B306,'Privacy Analyst Evaluation'!$A$46:$F$120,6,0),""))&amp;""</f>
        <v/>
      </c>
      <c r="G306" s="243"/>
      <c r="H306" s="242" t="str">
        <f aca="false">IFERROR(IF($H305+1&gt;'(backend scoring)'!$Q$335,"",$H305+1),"")</f>
        <v/>
      </c>
      <c r="I306" s="242" t="str">
        <f aca="false">_xlfn.XLOOKUP($H306,'(backend scoring)'!$S$2:$S$333,'(backend scoring)'!$A$2:$A$333,"")</f>
        <v/>
      </c>
      <c r="J306" s="242" t="str">
        <f aca="false">IFERROR(VLOOKUP($I306,'Institution Evaluation'!$A$55:$F$346,2,0),IFERROR(VLOOKUP($I306,'Privacy Analyst Evaluation'!$A$46:$F$120,2,0),""))</f>
        <v/>
      </c>
      <c r="K306" s="242" t="str">
        <f aca="false">IFERROR(VLOOKUP($I306,'Institution Evaluation'!$A$55:$F$346,3,0),IFERROR(VLOOKUP($I306,'Privacy Analyst Evaluation'!$A$46:$F$120,3,0),""))&amp;""</f>
        <v/>
      </c>
      <c r="L306" s="242" t="str">
        <f aca="false">IFERROR(VLOOKUP($I306,'Institution Evaluation'!$A$55:$F$346,4,0),IFERROR(VLOOKUP($I306,'Privacy Analyst Evaluation'!$A$46:$F$120,4,0),""))&amp;""</f>
        <v/>
      </c>
      <c r="M306" s="242" t="str">
        <f aca="false">IFERROR(VLOOKUP($I306,'Institution Evaluation'!$A$55:$F$346,6,0),IFERROR(VLOOKUP($I306,'Privacy Analyst Evaluation'!$A$46:$F$120,6,0),""))&amp;""</f>
        <v/>
      </c>
    </row>
    <row r="307" customFormat="false" ht="15" hidden="false" customHeight="false" outlineLevel="0" collapsed="false">
      <c r="A307" s="242" t="str">
        <f aca="false">IFERROR(IF($A306+1&gt;'(backend scoring)'!$T$335,"",$A306+1),"")</f>
        <v/>
      </c>
      <c r="B307" s="242" t="str">
        <f aca="false">_xlfn.XLOOKUP($A307,'(backend scoring)'!$V$2:$V$333,'(backend scoring)'!$A$2:$A$333,"")</f>
        <v/>
      </c>
      <c r="C307" s="242" t="str">
        <f aca="false">IFERROR(VLOOKUP($B307,'Institution Evaluation'!$A$55:$F$346,2,0),IFERROR(VLOOKUP($B307,'Privacy Analyst Evaluation'!$A$46:$F$120,2,0),""))&amp;""</f>
        <v/>
      </c>
      <c r="D307" s="242" t="str">
        <f aca="false">IFERROR(VLOOKUP($B307,'Institution Evaluation'!$A$55:$F$346,3,0),IFERROR(VLOOKUP($B307,'Privacy Analyst Evaluation'!$A$46:$F$120,3,0),""))&amp;""</f>
        <v/>
      </c>
      <c r="E307" s="242" t="str">
        <f aca="false">IFERROR(VLOOKUP($B307,'Institution Evaluation'!$A$55:$F$346,4,0),IFERROR(VLOOKUP($B307,'Privacy Analyst Evaluation'!$A$46:$F$120,4,0),""))&amp;""</f>
        <v/>
      </c>
      <c r="F307" s="242" t="str">
        <f aca="false">IFERROR(VLOOKUP($B307,'Institution Evaluation'!$A$55:$F$346,6,0),IFERROR(VLOOKUP($B307,'Privacy Analyst Evaluation'!$A$46:$F$120,6,0),""))&amp;""</f>
        <v/>
      </c>
      <c r="G307" s="243"/>
      <c r="H307" s="242" t="str">
        <f aca="false">IFERROR(IF($H306+1&gt;'(backend scoring)'!$Q$335,"",$H306+1),"")</f>
        <v/>
      </c>
      <c r="I307" s="242" t="str">
        <f aca="false">_xlfn.XLOOKUP($H307,'(backend scoring)'!$S$2:$S$333,'(backend scoring)'!$A$2:$A$333,"")</f>
        <v/>
      </c>
      <c r="J307" s="242" t="str">
        <f aca="false">IFERROR(VLOOKUP($I307,'Institution Evaluation'!$A$55:$F$346,2,0),IFERROR(VLOOKUP($I307,'Privacy Analyst Evaluation'!$A$46:$F$120,2,0),""))</f>
        <v/>
      </c>
      <c r="K307" s="242" t="str">
        <f aca="false">IFERROR(VLOOKUP($I307,'Institution Evaluation'!$A$55:$F$346,3,0),IFERROR(VLOOKUP($I307,'Privacy Analyst Evaluation'!$A$46:$F$120,3,0),""))&amp;""</f>
        <v/>
      </c>
      <c r="L307" s="242" t="str">
        <f aca="false">IFERROR(VLOOKUP($I307,'Institution Evaluation'!$A$55:$F$346,4,0),IFERROR(VLOOKUP($I307,'Privacy Analyst Evaluation'!$A$46:$F$120,4,0),""))&amp;""</f>
        <v/>
      </c>
      <c r="M307" s="242" t="str">
        <f aca="false">IFERROR(VLOOKUP($I307,'Institution Evaluation'!$A$55:$F$346,6,0),IFERROR(VLOOKUP($I307,'Privacy Analyst Evaluation'!$A$46:$F$120,6,0),""))&amp;""</f>
        <v/>
      </c>
    </row>
    <row r="308" customFormat="false" ht="15" hidden="false" customHeight="false" outlineLevel="0" collapsed="false">
      <c r="A308" s="242" t="str">
        <f aca="false">IFERROR(IF($A307+1&gt;'(backend scoring)'!$T$335,"",$A307+1),"")</f>
        <v/>
      </c>
      <c r="B308" s="242" t="str">
        <f aca="false">_xlfn.XLOOKUP($A308,'(backend scoring)'!$V$2:$V$333,'(backend scoring)'!$A$2:$A$333,"")</f>
        <v/>
      </c>
      <c r="C308" s="242" t="str">
        <f aca="false">IFERROR(VLOOKUP($B308,'Institution Evaluation'!$A$55:$F$346,2,0),IFERROR(VLOOKUP($B308,'Privacy Analyst Evaluation'!$A$46:$F$120,2,0),""))&amp;""</f>
        <v/>
      </c>
      <c r="D308" s="242" t="str">
        <f aca="false">IFERROR(VLOOKUP($B308,'Institution Evaluation'!$A$55:$F$346,3,0),IFERROR(VLOOKUP($B308,'Privacy Analyst Evaluation'!$A$46:$F$120,3,0),""))&amp;""</f>
        <v/>
      </c>
      <c r="E308" s="242" t="str">
        <f aca="false">IFERROR(VLOOKUP($B308,'Institution Evaluation'!$A$55:$F$346,4,0),IFERROR(VLOOKUP($B308,'Privacy Analyst Evaluation'!$A$46:$F$120,4,0),""))&amp;""</f>
        <v/>
      </c>
      <c r="F308" s="242" t="str">
        <f aca="false">IFERROR(VLOOKUP($B308,'Institution Evaluation'!$A$55:$F$346,6,0),IFERROR(VLOOKUP($B308,'Privacy Analyst Evaluation'!$A$46:$F$120,6,0),""))&amp;""</f>
        <v/>
      </c>
      <c r="G308" s="243"/>
      <c r="H308" s="242" t="str">
        <f aca="false">IFERROR(IF($H307+1&gt;'(backend scoring)'!$Q$335,"",$H307+1),"")</f>
        <v/>
      </c>
      <c r="I308" s="242" t="str">
        <f aca="false">_xlfn.XLOOKUP($H308,'(backend scoring)'!$S$2:$S$333,'(backend scoring)'!$A$2:$A$333,"")</f>
        <v/>
      </c>
      <c r="J308" s="242" t="str">
        <f aca="false">IFERROR(VLOOKUP($I308,'Institution Evaluation'!$A$55:$F$346,2,0),IFERROR(VLOOKUP($I308,'Privacy Analyst Evaluation'!$A$46:$F$120,2,0),""))</f>
        <v/>
      </c>
      <c r="K308" s="242" t="str">
        <f aca="false">IFERROR(VLOOKUP($I308,'Institution Evaluation'!$A$55:$F$346,3,0),IFERROR(VLOOKUP($I308,'Privacy Analyst Evaluation'!$A$46:$F$120,3,0),""))&amp;""</f>
        <v/>
      </c>
      <c r="L308" s="242" t="str">
        <f aca="false">IFERROR(VLOOKUP($I308,'Institution Evaluation'!$A$55:$F$346,4,0),IFERROR(VLOOKUP($I308,'Privacy Analyst Evaluation'!$A$46:$F$120,4,0),""))&amp;""</f>
        <v/>
      </c>
      <c r="M308" s="242" t="str">
        <f aca="false">IFERROR(VLOOKUP($I308,'Institution Evaluation'!$A$55:$F$346,6,0),IFERROR(VLOOKUP($I308,'Privacy Analyst Evaluation'!$A$46:$F$120,6,0),""))&amp;""</f>
        <v/>
      </c>
    </row>
    <row r="309" customFormat="false" ht="15" hidden="false" customHeight="false" outlineLevel="0" collapsed="false">
      <c r="A309" s="242" t="str">
        <f aca="false">IFERROR(IF($A308+1&gt;'(backend scoring)'!$T$335,"",$A308+1),"")</f>
        <v/>
      </c>
      <c r="B309" s="242" t="str">
        <f aca="false">_xlfn.XLOOKUP($A309,'(backend scoring)'!$V$2:$V$333,'(backend scoring)'!$A$2:$A$333,"")</f>
        <v/>
      </c>
      <c r="C309" s="242" t="str">
        <f aca="false">IFERROR(VLOOKUP($B309,'Institution Evaluation'!$A$55:$F$346,2,0),IFERROR(VLOOKUP($B309,'Privacy Analyst Evaluation'!$A$46:$F$120,2,0),""))&amp;""</f>
        <v/>
      </c>
      <c r="D309" s="242" t="str">
        <f aca="false">IFERROR(VLOOKUP($B309,'Institution Evaluation'!$A$55:$F$346,3,0),IFERROR(VLOOKUP($B309,'Privacy Analyst Evaluation'!$A$46:$F$120,3,0),""))&amp;""</f>
        <v/>
      </c>
      <c r="E309" s="242" t="str">
        <f aca="false">IFERROR(VLOOKUP($B309,'Institution Evaluation'!$A$55:$F$346,4,0),IFERROR(VLOOKUP($B309,'Privacy Analyst Evaluation'!$A$46:$F$120,4,0),""))&amp;""</f>
        <v/>
      </c>
      <c r="F309" s="242" t="str">
        <f aca="false">IFERROR(VLOOKUP($B309,'Institution Evaluation'!$A$55:$F$346,6,0),IFERROR(VLOOKUP($B309,'Privacy Analyst Evaluation'!$A$46:$F$120,6,0),""))&amp;""</f>
        <v/>
      </c>
      <c r="G309" s="243"/>
      <c r="H309" s="242" t="str">
        <f aca="false">IFERROR(IF($H308+1&gt;'(backend scoring)'!$Q$335,"",$H308+1),"")</f>
        <v/>
      </c>
      <c r="I309" s="242" t="str">
        <f aca="false">_xlfn.XLOOKUP($H309,'(backend scoring)'!$S$2:$S$333,'(backend scoring)'!$A$2:$A$333,"")</f>
        <v/>
      </c>
      <c r="J309" s="242" t="str">
        <f aca="false">IFERROR(VLOOKUP($I309,'Institution Evaluation'!$A$55:$F$346,2,0),IFERROR(VLOOKUP($I309,'Privacy Analyst Evaluation'!$A$46:$F$120,2,0),""))</f>
        <v/>
      </c>
      <c r="K309" s="242" t="str">
        <f aca="false">IFERROR(VLOOKUP($I309,'Institution Evaluation'!$A$55:$F$346,3,0),IFERROR(VLOOKUP($I309,'Privacy Analyst Evaluation'!$A$46:$F$120,3,0),""))&amp;""</f>
        <v/>
      </c>
      <c r="L309" s="242" t="str">
        <f aca="false">IFERROR(VLOOKUP($I309,'Institution Evaluation'!$A$55:$F$346,4,0),IFERROR(VLOOKUP($I309,'Privacy Analyst Evaluation'!$A$46:$F$120,4,0),""))&amp;""</f>
        <v/>
      </c>
      <c r="M309" s="242" t="str">
        <f aca="false">IFERROR(VLOOKUP($I309,'Institution Evaluation'!$A$55:$F$346,6,0),IFERROR(VLOOKUP($I309,'Privacy Analyst Evaluation'!$A$46:$F$120,6,0),""))&amp;""</f>
        <v/>
      </c>
    </row>
    <row r="310" customFormat="false" ht="15" hidden="false" customHeight="false" outlineLevel="0" collapsed="false">
      <c r="A310" s="242" t="str">
        <f aca="false">IFERROR(IF($A309+1&gt;'(backend scoring)'!$T$335,"",$A309+1),"")</f>
        <v/>
      </c>
      <c r="B310" s="242" t="str">
        <f aca="false">_xlfn.XLOOKUP($A310,'(backend scoring)'!$V$2:$V$333,'(backend scoring)'!$A$2:$A$333,"")</f>
        <v/>
      </c>
      <c r="C310" s="242" t="str">
        <f aca="false">IFERROR(VLOOKUP($B310,'Institution Evaluation'!$A$55:$F$346,2,0),IFERROR(VLOOKUP($B310,'Privacy Analyst Evaluation'!$A$46:$F$120,2,0),""))&amp;""</f>
        <v/>
      </c>
      <c r="D310" s="242" t="str">
        <f aca="false">IFERROR(VLOOKUP($B310,'Institution Evaluation'!$A$55:$F$346,3,0),IFERROR(VLOOKUP($B310,'Privacy Analyst Evaluation'!$A$46:$F$120,3,0),""))&amp;""</f>
        <v/>
      </c>
      <c r="E310" s="242" t="str">
        <f aca="false">IFERROR(VLOOKUP($B310,'Institution Evaluation'!$A$55:$F$346,4,0),IFERROR(VLOOKUP($B310,'Privacy Analyst Evaluation'!$A$46:$F$120,4,0),""))&amp;""</f>
        <v/>
      </c>
      <c r="F310" s="242" t="str">
        <f aca="false">IFERROR(VLOOKUP($B310,'Institution Evaluation'!$A$55:$F$346,6,0),IFERROR(VLOOKUP($B310,'Privacy Analyst Evaluation'!$A$46:$F$120,6,0),""))&amp;""</f>
        <v/>
      </c>
      <c r="G310" s="243"/>
      <c r="H310" s="242" t="str">
        <f aca="false">IFERROR(IF($H309+1&gt;'(backend scoring)'!$Q$335,"",$H309+1),"")</f>
        <v/>
      </c>
      <c r="I310" s="242" t="str">
        <f aca="false">_xlfn.XLOOKUP($H310,'(backend scoring)'!$S$2:$S$333,'(backend scoring)'!$A$2:$A$333,"")</f>
        <v/>
      </c>
      <c r="J310" s="242" t="str">
        <f aca="false">IFERROR(VLOOKUP($I310,'Institution Evaluation'!$A$55:$F$346,2,0),IFERROR(VLOOKUP($I310,'Privacy Analyst Evaluation'!$A$46:$F$120,2,0),""))</f>
        <v/>
      </c>
      <c r="K310" s="242" t="str">
        <f aca="false">IFERROR(VLOOKUP($I310,'Institution Evaluation'!$A$55:$F$346,3,0),IFERROR(VLOOKUP($I310,'Privacy Analyst Evaluation'!$A$46:$F$120,3,0),""))&amp;""</f>
        <v/>
      </c>
      <c r="L310" s="242" t="str">
        <f aca="false">IFERROR(VLOOKUP($I310,'Institution Evaluation'!$A$55:$F$346,4,0),IFERROR(VLOOKUP($I310,'Privacy Analyst Evaluation'!$A$46:$F$120,4,0),""))&amp;""</f>
        <v/>
      </c>
      <c r="M310" s="242" t="str">
        <f aca="false">IFERROR(VLOOKUP($I310,'Institution Evaluation'!$A$55:$F$346,6,0),IFERROR(VLOOKUP($I310,'Privacy Analyst Evaluation'!$A$46:$F$120,6,0),""))&amp;""</f>
        <v/>
      </c>
    </row>
    <row r="311" customFormat="false" ht="15" hidden="false" customHeight="false" outlineLevel="0" collapsed="false">
      <c r="A311" s="242" t="str">
        <f aca="false">IFERROR(IF($A310+1&gt;'(backend scoring)'!$T$335,"",$A310+1),"")</f>
        <v/>
      </c>
      <c r="B311" s="242" t="str">
        <f aca="false">_xlfn.XLOOKUP($A311,'(backend scoring)'!$V$2:$V$333,'(backend scoring)'!$A$2:$A$333,"")</f>
        <v/>
      </c>
      <c r="C311" s="242" t="str">
        <f aca="false">IFERROR(VLOOKUP($B311,'Institution Evaluation'!$A$55:$F$346,2,0),IFERROR(VLOOKUP($B311,'Privacy Analyst Evaluation'!$A$46:$F$120,2,0),""))&amp;""</f>
        <v/>
      </c>
      <c r="D311" s="242" t="str">
        <f aca="false">IFERROR(VLOOKUP($B311,'Institution Evaluation'!$A$55:$F$346,3,0),IFERROR(VLOOKUP($B311,'Privacy Analyst Evaluation'!$A$46:$F$120,3,0),""))&amp;""</f>
        <v/>
      </c>
      <c r="E311" s="242" t="str">
        <f aca="false">IFERROR(VLOOKUP($B311,'Institution Evaluation'!$A$55:$F$346,4,0),IFERROR(VLOOKUP($B311,'Privacy Analyst Evaluation'!$A$46:$F$120,4,0),""))&amp;""</f>
        <v/>
      </c>
      <c r="F311" s="242" t="str">
        <f aca="false">IFERROR(VLOOKUP($B311,'Institution Evaluation'!$A$55:$F$346,6,0),IFERROR(VLOOKUP($B311,'Privacy Analyst Evaluation'!$A$46:$F$120,6,0),""))&amp;""</f>
        <v/>
      </c>
      <c r="G311" s="243"/>
      <c r="H311" s="242" t="str">
        <f aca="false">IFERROR(IF($H310+1&gt;'(backend scoring)'!$Q$335,"",$H310+1),"")</f>
        <v/>
      </c>
      <c r="I311" s="242" t="str">
        <f aca="false">_xlfn.XLOOKUP($H311,'(backend scoring)'!$S$2:$S$333,'(backend scoring)'!$A$2:$A$333,"")</f>
        <v/>
      </c>
      <c r="J311" s="242" t="str">
        <f aca="false">IFERROR(VLOOKUP($I311,'Institution Evaluation'!$A$55:$F$346,2,0),IFERROR(VLOOKUP($I311,'Privacy Analyst Evaluation'!$A$46:$F$120,2,0),""))</f>
        <v/>
      </c>
      <c r="K311" s="242" t="str">
        <f aca="false">IFERROR(VLOOKUP($I311,'Institution Evaluation'!$A$55:$F$346,3,0),IFERROR(VLOOKUP($I311,'Privacy Analyst Evaluation'!$A$46:$F$120,3,0),""))&amp;""</f>
        <v/>
      </c>
      <c r="L311" s="242" t="str">
        <f aca="false">IFERROR(VLOOKUP($I311,'Institution Evaluation'!$A$55:$F$346,4,0),IFERROR(VLOOKUP($I311,'Privacy Analyst Evaluation'!$A$46:$F$120,4,0),""))&amp;""</f>
        <v/>
      </c>
      <c r="M311" s="242" t="str">
        <f aca="false">IFERROR(VLOOKUP($I311,'Institution Evaluation'!$A$55:$F$346,6,0),IFERROR(VLOOKUP($I311,'Privacy Analyst Evaluation'!$A$46:$F$120,6,0),""))&amp;""</f>
        <v/>
      </c>
    </row>
    <row r="312" customFormat="false" ht="15" hidden="false" customHeight="false" outlineLevel="0" collapsed="false">
      <c r="A312" s="242" t="str">
        <f aca="false">IFERROR(IF($A311+1&gt;'(backend scoring)'!$T$335,"",$A311+1),"")</f>
        <v/>
      </c>
      <c r="B312" s="242" t="str">
        <f aca="false">_xlfn.XLOOKUP($A312,'(backend scoring)'!$V$2:$V$333,'(backend scoring)'!$A$2:$A$333,"")</f>
        <v/>
      </c>
      <c r="C312" s="242" t="str">
        <f aca="false">IFERROR(VLOOKUP($B312,'Institution Evaluation'!$A$55:$F$346,2,0),IFERROR(VLOOKUP($B312,'Privacy Analyst Evaluation'!$A$46:$F$120,2,0),""))&amp;""</f>
        <v/>
      </c>
      <c r="D312" s="242" t="str">
        <f aca="false">IFERROR(VLOOKUP($B312,'Institution Evaluation'!$A$55:$F$346,3,0),IFERROR(VLOOKUP($B312,'Privacy Analyst Evaluation'!$A$46:$F$120,3,0),""))&amp;""</f>
        <v/>
      </c>
      <c r="E312" s="242" t="str">
        <f aca="false">IFERROR(VLOOKUP($B312,'Institution Evaluation'!$A$55:$F$346,4,0),IFERROR(VLOOKUP($B312,'Privacy Analyst Evaluation'!$A$46:$F$120,4,0),""))&amp;""</f>
        <v/>
      </c>
      <c r="F312" s="242" t="str">
        <f aca="false">IFERROR(VLOOKUP($B312,'Institution Evaluation'!$A$55:$F$346,6,0),IFERROR(VLOOKUP($B312,'Privacy Analyst Evaluation'!$A$46:$F$120,6,0),""))&amp;""</f>
        <v/>
      </c>
      <c r="G312" s="243"/>
      <c r="H312" s="242" t="str">
        <f aca="false">IFERROR(IF($H311+1&gt;'(backend scoring)'!$Q$335,"",$H311+1),"")</f>
        <v/>
      </c>
      <c r="I312" s="242" t="str">
        <f aca="false">_xlfn.XLOOKUP($H312,'(backend scoring)'!$S$2:$S$333,'(backend scoring)'!$A$2:$A$333,"")</f>
        <v/>
      </c>
      <c r="J312" s="242" t="str">
        <f aca="false">IFERROR(VLOOKUP($I312,'Institution Evaluation'!$A$55:$F$346,2,0),IFERROR(VLOOKUP($I312,'Privacy Analyst Evaluation'!$A$46:$F$120,2,0),""))</f>
        <v/>
      </c>
      <c r="K312" s="242" t="str">
        <f aca="false">IFERROR(VLOOKUP($I312,'Institution Evaluation'!$A$55:$F$346,3,0),IFERROR(VLOOKUP($I312,'Privacy Analyst Evaluation'!$A$46:$F$120,3,0),""))&amp;""</f>
        <v/>
      </c>
      <c r="L312" s="242" t="str">
        <f aca="false">IFERROR(VLOOKUP($I312,'Institution Evaluation'!$A$55:$F$346,4,0),IFERROR(VLOOKUP($I312,'Privacy Analyst Evaluation'!$A$46:$F$120,4,0),""))&amp;""</f>
        <v/>
      </c>
      <c r="M312" s="242" t="str">
        <f aca="false">IFERROR(VLOOKUP($I312,'Institution Evaluation'!$A$55:$F$346,6,0),IFERROR(VLOOKUP($I312,'Privacy Analyst Evaluation'!$A$46:$F$120,6,0),""))&amp;""</f>
        <v/>
      </c>
    </row>
    <row r="313" customFormat="false" ht="15" hidden="false" customHeight="false" outlineLevel="0" collapsed="false">
      <c r="A313" s="242" t="str">
        <f aca="false">IFERROR(IF($A312+1&gt;'(backend scoring)'!$T$335,"",$A312+1),"")</f>
        <v/>
      </c>
      <c r="B313" s="242" t="str">
        <f aca="false">_xlfn.XLOOKUP($A313,'(backend scoring)'!$V$2:$V$333,'(backend scoring)'!$A$2:$A$333,"")</f>
        <v/>
      </c>
      <c r="C313" s="242" t="str">
        <f aca="false">IFERROR(VLOOKUP($B313,'Institution Evaluation'!$A$55:$F$346,2,0),IFERROR(VLOOKUP($B313,'Privacy Analyst Evaluation'!$A$46:$F$120,2,0),""))&amp;""</f>
        <v/>
      </c>
      <c r="D313" s="242" t="str">
        <f aca="false">IFERROR(VLOOKUP($B313,'Institution Evaluation'!$A$55:$F$346,3,0),IFERROR(VLOOKUP($B313,'Privacy Analyst Evaluation'!$A$46:$F$120,3,0),""))&amp;""</f>
        <v/>
      </c>
      <c r="E313" s="242" t="str">
        <f aca="false">IFERROR(VLOOKUP($B313,'Institution Evaluation'!$A$55:$F$346,4,0),IFERROR(VLOOKUP($B313,'Privacy Analyst Evaluation'!$A$46:$F$120,4,0),""))&amp;""</f>
        <v/>
      </c>
      <c r="F313" s="242" t="str">
        <f aca="false">IFERROR(VLOOKUP($B313,'Institution Evaluation'!$A$55:$F$346,6,0),IFERROR(VLOOKUP($B313,'Privacy Analyst Evaluation'!$A$46:$F$120,6,0),""))&amp;""</f>
        <v/>
      </c>
      <c r="G313" s="243"/>
      <c r="H313" s="242" t="str">
        <f aca="false">IFERROR(IF($H312+1&gt;'(backend scoring)'!$Q$335,"",$H312+1),"")</f>
        <v/>
      </c>
      <c r="I313" s="242" t="str">
        <f aca="false">_xlfn.XLOOKUP($H313,'(backend scoring)'!$S$2:$S$333,'(backend scoring)'!$A$2:$A$333,"")</f>
        <v/>
      </c>
      <c r="J313" s="242" t="str">
        <f aca="false">IFERROR(VLOOKUP($I313,'Institution Evaluation'!$A$55:$F$346,2,0),IFERROR(VLOOKUP($I313,'Privacy Analyst Evaluation'!$A$46:$F$120,2,0),""))</f>
        <v/>
      </c>
      <c r="K313" s="242" t="str">
        <f aca="false">IFERROR(VLOOKUP($I313,'Institution Evaluation'!$A$55:$F$346,3,0),IFERROR(VLOOKUP($I313,'Privacy Analyst Evaluation'!$A$46:$F$120,3,0),""))&amp;""</f>
        <v/>
      </c>
      <c r="L313" s="242" t="str">
        <f aca="false">IFERROR(VLOOKUP($I313,'Institution Evaluation'!$A$55:$F$346,4,0),IFERROR(VLOOKUP($I313,'Privacy Analyst Evaluation'!$A$46:$F$120,4,0),""))&amp;""</f>
        <v/>
      </c>
      <c r="M313" s="242" t="str">
        <f aca="false">IFERROR(VLOOKUP($I313,'Institution Evaluation'!$A$55:$F$346,6,0),IFERROR(VLOOKUP($I313,'Privacy Analyst Evaluation'!$A$46:$F$120,6,0),""))&amp;""</f>
        <v/>
      </c>
    </row>
    <row r="314" customFormat="false" ht="15" hidden="false" customHeight="false" outlineLevel="0" collapsed="false">
      <c r="A314" s="242" t="str">
        <f aca="false">IFERROR(IF($A313+1&gt;'(backend scoring)'!$T$335,"",$A313+1),"")</f>
        <v/>
      </c>
      <c r="B314" s="242" t="str">
        <f aca="false">_xlfn.XLOOKUP($A314,'(backend scoring)'!$V$2:$V$333,'(backend scoring)'!$A$2:$A$333,"")</f>
        <v/>
      </c>
      <c r="C314" s="242" t="str">
        <f aca="false">IFERROR(VLOOKUP($B314,'Institution Evaluation'!$A$55:$F$346,2,0),IFERROR(VLOOKUP($B314,'Privacy Analyst Evaluation'!$A$46:$F$120,2,0),""))&amp;""</f>
        <v/>
      </c>
      <c r="D314" s="242" t="str">
        <f aca="false">IFERROR(VLOOKUP($B314,'Institution Evaluation'!$A$55:$F$346,3,0),IFERROR(VLOOKUP($B314,'Privacy Analyst Evaluation'!$A$46:$F$120,3,0),""))&amp;""</f>
        <v/>
      </c>
      <c r="E314" s="242" t="str">
        <f aca="false">IFERROR(VLOOKUP($B314,'Institution Evaluation'!$A$55:$F$346,4,0),IFERROR(VLOOKUP($B314,'Privacy Analyst Evaluation'!$A$46:$F$120,4,0),""))&amp;""</f>
        <v/>
      </c>
      <c r="F314" s="242" t="str">
        <f aca="false">IFERROR(VLOOKUP($B314,'Institution Evaluation'!$A$55:$F$346,6,0),IFERROR(VLOOKUP($B314,'Privacy Analyst Evaluation'!$A$46:$F$120,6,0),""))&amp;""</f>
        <v/>
      </c>
      <c r="G314" s="243"/>
      <c r="H314" s="242" t="str">
        <f aca="false">IFERROR(IF($H313+1&gt;'(backend scoring)'!$Q$335,"",$H313+1),"")</f>
        <v/>
      </c>
      <c r="I314" s="242" t="str">
        <f aca="false">_xlfn.XLOOKUP($H314,'(backend scoring)'!$S$2:$S$333,'(backend scoring)'!$A$2:$A$333,"")</f>
        <v/>
      </c>
      <c r="J314" s="242" t="str">
        <f aca="false">IFERROR(VLOOKUP($I314,'Institution Evaluation'!$A$55:$F$346,2,0),IFERROR(VLOOKUP($I314,'Privacy Analyst Evaluation'!$A$46:$F$120,2,0),""))</f>
        <v/>
      </c>
      <c r="K314" s="242" t="str">
        <f aca="false">IFERROR(VLOOKUP($I314,'Institution Evaluation'!$A$55:$F$346,3,0),IFERROR(VLOOKUP($I314,'Privacy Analyst Evaluation'!$A$46:$F$120,3,0),""))&amp;""</f>
        <v/>
      </c>
      <c r="L314" s="242" t="str">
        <f aca="false">IFERROR(VLOOKUP($I314,'Institution Evaluation'!$A$55:$F$346,4,0),IFERROR(VLOOKUP($I314,'Privacy Analyst Evaluation'!$A$46:$F$120,4,0),""))&amp;""</f>
        <v/>
      </c>
      <c r="M314" s="242" t="str">
        <f aca="false">IFERROR(VLOOKUP($I314,'Institution Evaluation'!$A$55:$F$346,6,0),IFERROR(VLOOKUP($I314,'Privacy Analyst Evaluation'!$A$46:$F$120,6,0),""))&amp;""</f>
        <v/>
      </c>
    </row>
    <row r="315" customFormat="false" ht="15" hidden="false" customHeight="false" outlineLevel="0" collapsed="false">
      <c r="A315" s="242" t="str">
        <f aca="false">IFERROR(IF($A314+1&gt;'(backend scoring)'!$T$335,"",$A314+1),"")</f>
        <v/>
      </c>
      <c r="B315" s="242" t="str">
        <f aca="false">_xlfn.XLOOKUP($A315,'(backend scoring)'!$V$2:$V$333,'(backend scoring)'!$A$2:$A$333,"")</f>
        <v/>
      </c>
      <c r="C315" s="242" t="str">
        <f aca="false">IFERROR(VLOOKUP($B315,'Institution Evaluation'!$A$55:$F$346,2,0),IFERROR(VLOOKUP($B315,'Privacy Analyst Evaluation'!$A$46:$F$120,2,0),""))&amp;""</f>
        <v/>
      </c>
      <c r="D315" s="242" t="str">
        <f aca="false">IFERROR(VLOOKUP($B315,'Institution Evaluation'!$A$55:$F$346,3,0),IFERROR(VLOOKUP($B315,'Privacy Analyst Evaluation'!$A$46:$F$120,3,0),""))&amp;""</f>
        <v/>
      </c>
      <c r="E315" s="242" t="str">
        <f aca="false">IFERROR(VLOOKUP($B315,'Institution Evaluation'!$A$55:$F$346,4,0),IFERROR(VLOOKUP($B315,'Privacy Analyst Evaluation'!$A$46:$F$120,4,0),""))&amp;""</f>
        <v/>
      </c>
      <c r="F315" s="242" t="str">
        <f aca="false">IFERROR(VLOOKUP($B315,'Institution Evaluation'!$A$55:$F$346,6,0),IFERROR(VLOOKUP($B315,'Privacy Analyst Evaluation'!$A$46:$F$120,6,0),""))&amp;""</f>
        <v/>
      </c>
      <c r="G315" s="243"/>
      <c r="H315" s="242" t="str">
        <f aca="false">IFERROR(IF($H314+1&gt;'(backend scoring)'!$Q$335,"",$H314+1),"")</f>
        <v/>
      </c>
      <c r="I315" s="242" t="str">
        <f aca="false">_xlfn.XLOOKUP($H315,'(backend scoring)'!$S$2:$S$333,'(backend scoring)'!$A$2:$A$333,"")</f>
        <v/>
      </c>
      <c r="J315" s="242" t="str">
        <f aca="false">IFERROR(VLOOKUP($I315,'Institution Evaluation'!$A$55:$F$346,2,0),IFERROR(VLOOKUP($I315,'Privacy Analyst Evaluation'!$A$46:$F$120,2,0),""))</f>
        <v/>
      </c>
      <c r="K315" s="242" t="str">
        <f aca="false">IFERROR(VLOOKUP($I315,'Institution Evaluation'!$A$55:$F$346,3,0),IFERROR(VLOOKUP($I315,'Privacy Analyst Evaluation'!$A$46:$F$120,3,0),""))&amp;""</f>
        <v/>
      </c>
      <c r="L315" s="242" t="str">
        <f aca="false">IFERROR(VLOOKUP($I315,'Institution Evaluation'!$A$55:$F$346,4,0),IFERROR(VLOOKUP($I315,'Privacy Analyst Evaluation'!$A$46:$F$120,4,0),""))&amp;""</f>
        <v/>
      </c>
      <c r="M315" s="242" t="str">
        <f aca="false">IFERROR(VLOOKUP($I315,'Institution Evaluation'!$A$55:$F$346,6,0),IFERROR(VLOOKUP($I315,'Privacy Analyst Evaluation'!$A$46:$F$120,6,0),""))&amp;""</f>
        <v/>
      </c>
    </row>
    <row r="316" customFormat="false" ht="15" hidden="false" customHeight="false" outlineLevel="0" collapsed="false">
      <c r="A316" s="242" t="str">
        <f aca="false">IFERROR(IF($A315+1&gt;'(backend scoring)'!$T$335,"",$A315+1),"")</f>
        <v/>
      </c>
      <c r="B316" s="242" t="str">
        <f aca="false">_xlfn.XLOOKUP($A316,'(backend scoring)'!$V$2:$V$333,'(backend scoring)'!$A$2:$A$333,"")</f>
        <v/>
      </c>
      <c r="C316" s="242" t="str">
        <f aca="false">IFERROR(VLOOKUP($B316,'Institution Evaluation'!$A$55:$F$346,2,0),IFERROR(VLOOKUP($B316,'Privacy Analyst Evaluation'!$A$46:$F$120,2,0),""))&amp;""</f>
        <v/>
      </c>
      <c r="D316" s="242" t="str">
        <f aca="false">IFERROR(VLOOKUP($B316,'Institution Evaluation'!$A$55:$F$346,3,0),IFERROR(VLOOKUP($B316,'Privacy Analyst Evaluation'!$A$46:$F$120,3,0),""))&amp;""</f>
        <v/>
      </c>
      <c r="E316" s="242" t="str">
        <f aca="false">IFERROR(VLOOKUP($B316,'Institution Evaluation'!$A$55:$F$346,4,0),IFERROR(VLOOKUP($B316,'Privacy Analyst Evaluation'!$A$46:$F$120,4,0),""))&amp;""</f>
        <v/>
      </c>
      <c r="F316" s="242" t="str">
        <f aca="false">IFERROR(VLOOKUP($B316,'Institution Evaluation'!$A$55:$F$346,6,0),IFERROR(VLOOKUP($B316,'Privacy Analyst Evaluation'!$A$46:$F$120,6,0),""))&amp;""</f>
        <v/>
      </c>
      <c r="G316" s="243"/>
      <c r="H316" s="242" t="str">
        <f aca="false">IFERROR(IF($H315+1&gt;'(backend scoring)'!$Q$335,"",$H315+1),"")</f>
        <v/>
      </c>
      <c r="I316" s="242" t="str">
        <f aca="false">_xlfn.XLOOKUP($H316,'(backend scoring)'!$S$2:$S$333,'(backend scoring)'!$A$2:$A$333,"")</f>
        <v/>
      </c>
      <c r="J316" s="242" t="str">
        <f aca="false">IFERROR(VLOOKUP($I316,'Institution Evaluation'!$A$55:$F$346,2,0),IFERROR(VLOOKUP($I316,'Privacy Analyst Evaluation'!$A$46:$F$120,2,0),""))</f>
        <v/>
      </c>
      <c r="K316" s="242" t="str">
        <f aca="false">IFERROR(VLOOKUP($I316,'Institution Evaluation'!$A$55:$F$346,3,0),IFERROR(VLOOKUP($I316,'Privacy Analyst Evaluation'!$A$46:$F$120,3,0),""))&amp;""</f>
        <v/>
      </c>
      <c r="L316" s="242" t="str">
        <f aca="false">IFERROR(VLOOKUP($I316,'Institution Evaluation'!$A$55:$F$346,4,0),IFERROR(VLOOKUP($I316,'Privacy Analyst Evaluation'!$A$46:$F$120,4,0),""))&amp;""</f>
        <v/>
      </c>
      <c r="M316" s="242" t="str">
        <f aca="false">IFERROR(VLOOKUP($I316,'Institution Evaluation'!$A$55:$F$346,6,0),IFERROR(VLOOKUP($I316,'Privacy Analyst Evaluation'!$A$46:$F$120,6,0),""))&amp;""</f>
        <v/>
      </c>
    </row>
    <row r="317" customFormat="false" ht="15" hidden="false" customHeight="false" outlineLevel="0" collapsed="false">
      <c r="A317" s="242" t="str">
        <f aca="false">IFERROR(IF($A316+1&gt;'(backend scoring)'!$T$335,"",$A316+1),"")</f>
        <v/>
      </c>
      <c r="B317" s="242" t="str">
        <f aca="false">_xlfn.XLOOKUP($A317,'(backend scoring)'!$V$2:$V$333,'(backend scoring)'!$A$2:$A$333,"")</f>
        <v/>
      </c>
      <c r="C317" s="242" t="str">
        <f aca="false">IFERROR(VLOOKUP($B317,'Institution Evaluation'!$A$55:$F$346,2,0),IFERROR(VLOOKUP($B317,'Privacy Analyst Evaluation'!$A$46:$F$120,2,0),""))&amp;""</f>
        <v/>
      </c>
      <c r="D317" s="242" t="str">
        <f aca="false">IFERROR(VLOOKUP($B317,'Institution Evaluation'!$A$55:$F$346,3,0),IFERROR(VLOOKUP($B317,'Privacy Analyst Evaluation'!$A$46:$F$120,3,0),""))&amp;""</f>
        <v/>
      </c>
      <c r="E317" s="242" t="str">
        <f aca="false">IFERROR(VLOOKUP($B317,'Institution Evaluation'!$A$55:$F$346,4,0),IFERROR(VLOOKUP($B317,'Privacy Analyst Evaluation'!$A$46:$F$120,4,0),""))&amp;""</f>
        <v/>
      </c>
      <c r="F317" s="242" t="str">
        <f aca="false">IFERROR(VLOOKUP($B317,'Institution Evaluation'!$A$55:$F$346,6,0),IFERROR(VLOOKUP($B317,'Privacy Analyst Evaluation'!$A$46:$F$120,6,0),""))&amp;""</f>
        <v/>
      </c>
      <c r="G317" s="243"/>
      <c r="H317" s="242" t="str">
        <f aca="false">IFERROR(IF($H316+1&gt;'(backend scoring)'!$Q$335,"",$H316+1),"")</f>
        <v/>
      </c>
      <c r="I317" s="242" t="str">
        <f aca="false">_xlfn.XLOOKUP($H317,'(backend scoring)'!$S$2:$S$333,'(backend scoring)'!$A$2:$A$333,"")</f>
        <v/>
      </c>
      <c r="J317" s="242" t="str">
        <f aca="false">IFERROR(VLOOKUP($I317,'Institution Evaluation'!$A$55:$F$346,2,0),IFERROR(VLOOKUP($I317,'Privacy Analyst Evaluation'!$A$46:$F$120,2,0),""))</f>
        <v/>
      </c>
      <c r="K317" s="242" t="str">
        <f aca="false">IFERROR(VLOOKUP($I317,'Institution Evaluation'!$A$55:$F$346,3,0),IFERROR(VLOOKUP($I317,'Privacy Analyst Evaluation'!$A$46:$F$120,3,0),""))&amp;""</f>
        <v/>
      </c>
      <c r="L317" s="242" t="str">
        <f aca="false">IFERROR(VLOOKUP($I317,'Institution Evaluation'!$A$55:$F$346,4,0),IFERROR(VLOOKUP($I317,'Privacy Analyst Evaluation'!$A$46:$F$120,4,0),""))&amp;""</f>
        <v/>
      </c>
      <c r="M317" s="242" t="str">
        <f aca="false">IFERROR(VLOOKUP($I317,'Institution Evaluation'!$A$55:$F$346,6,0),IFERROR(VLOOKUP($I317,'Privacy Analyst Evaluation'!$A$46:$F$120,6,0),""))&amp;""</f>
        <v/>
      </c>
    </row>
    <row r="318" customFormat="false" ht="15" hidden="false" customHeight="false" outlineLevel="0" collapsed="false">
      <c r="A318" s="242" t="str">
        <f aca="false">IFERROR(IF($A317+1&gt;'(backend scoring)'!$T$335,"",$A317+1),"")</f>
        <v/>
      </c>
      <c r="B318" s="242" t="str">
        <f aca="false">_xlfn.XLOOKUP($A318,'(backend scoring)'!$V$2:$V$333,'(backend scoring)'!$A$2:$A$333,"")</f>
        <v/>
      </c>
      <c r="C318" s="242" t="str">
        <f aca="false">IFERROR(VLOOKUP($B318,'Institution Evaluation'!$A$55:$F$346,2,0),IFERROR(VLOOKUP($B318,'Privacy Analyst Evaluation'!$A$46:$F$120,2,0),""))&amp;""</f>
        <v/>
      </c>
      <c r="D318" s="242" t="str">
        <f aca="false">IFERROR(VLOOKUP($B318,'Institution Evaluation'!$A$55:$F$346,3,0),IFERROR(VLOOKUP($B318,'Privacy Analyst Evaluation'!$A$46:$F$120,3,0),""))&amp;""</f>
        <v/>
      </c>
      <c r="E318" s="242" t="str">
        <f aca="false">IFERROR(VLOOKUP($B318,'Institution Evaluation'!$A$55:$F$346,4,0),IFERROR(VLOOKUP($B318,'Privacy Analyst Evaluation'!$A$46:$F$120,4,0),""))&amp;""</f>
        <v/>
      </c>
      <c r="F318" s="242" t="str">
        <f aca="false">IFERROR(VLOOKUP($B318,'Institution Evaluation'!$A$55:$F$346,6,0),IFERROR(VLOOKUP($B318,'Privacy Analyst Evaluation'!$A$46:$F$120,6,0),""))&amp;""</f>
        <v/>
      </c>
      <c r="G318" s="243"/>
      <c r="H318" s="242" t="str">
        <f aca="false">IFERROR(IF($H317+1&gt;'(backend scoring)'!$Q$335,"",$H317+1),"")</f>
        <v/>
      </c>
      <c r="I318" s="242" t="str">
        <f aca="false">_xlfn.XLOOKUP($H318,'(backend scoring)'!$S$2:$S$333,'(backend scoring)'!$A$2:$A$333,"")</f>
        <v/>
      </c>
      <c r="J318" s="242" t="str">
        <f aca="false">IFERROR(VLOOKUP($I318,'Institution Evaluation'!$A$55:$F$346,2,0),IFERROR(VLOOKUP($I318,'Privacy Analyst Evaluation'!$A$46:$F$120,2,0),""))</f>
        <v/>
      </c>
      <c r="K318" s="242" t="str">
        <f aca="false">IFERROR(VLOOKUP($I318,'Institution Evaluation'!$A$55:$F$346,3,0),IFERROR(VLOOKUP($I318,'Privacy Analyst Evaluation'!$A$46:$F$120,3,0),""))&amp;""</f>
        <v/>
      </c>
      <c r="L318" s="242" t="str">
        <f aca="false">IFERROR(VLOOKUP($I318,'Institution Evaluation'!$A$55:$F$346,4,0),IFERROR(VLOOKUP($I318,'Privacy Analyst Evaluation'!$A$46:$F$120,4,0),""))&amp;""</f>
        <v/>
      </c>
      <c r="M318" s="242" t="str">
        <f aca="false">IFERROR(VLOOKUP($I318,'Institution Evaluation'!$A$55:$F$346,6,0),IFERROR(VLOOKUP($I318,'Privacy Analyst Evaluation'!$A$46:$F$120,6,0),""))&amp;""</f>
        <v/>
      </c>
    </row>
    <row r="319" customFormat="false" ht="15" hidden="false" customHeight="false" outlineLevel="0" collapsed="false">
      <c r="A319" s="242" t="str">
        <f aca="false">IFERROR(IF($A318+1&gt;'(backend scoring)'!$T$335,"",$A318+1),"")</f>
        <v/>
      </c>
      <c r="B319" s="242" t="str">
        <f aca="false">_xlfn.XLOOKUP($A319,'(backend scoring)'!$V$2:$V$333,'(backend scoring)'!$A$2:$A$333,"")</f>
        <v/>
      </c>
      <c r="C319" s="242" t="str">
        <f aca="false">IFERROR(VLOOKUP($B319,'Institution Evaluation'!$A$55:$F$346,2,0),IFERROR(VLOOKUP($B319,'Privacy Analyst Evaluation'!$A$46:$F$120,2,0),""))&amp;""</f>
        <v/>
      </c>
      <c r="D319" s="242" t="str">
        <f aca="false">IFERROR(VLOOKUP($B319,'Institution Evaluation'!$A$55:$F$346,3,0),IFERROR(VLOOKUP($B319,'Privacy Analyst Evaluation'!$A$46:$F$120,3,0),""))&amp;""</f>
        <v/>
      </c>
      <c r="E319" s="242" t="str">
        <f aca="false">IFERROR(VLOOKUP($B319,'Institution Evaluation'!$A$55:$F$346,4,0),IFERROR(VLOOKUP($B319,'Privacy Analyst Evaluation'!$A$46:$F$120,4,0),""))&amp;""</f>
        <v/>
      </c>
      <c r="F319" s="242" t="str">
        <f aca="false">IFERROR(VLOOKUP($B319,'Institution Evaluation'!$A$55:$F$346,6,0),IFERROR(VLOOKUP($B319,'Privacy Analyst Evaluation'!$A$46:$F$120,6,0),""))&amp;""</f>
        <v/>
      </c>
      <c r="G319" s="243"/>
      <c r="H319" s="242" t="str">
        <f aca="false">IFERROR(IF($H318+1&gt;'(backend scoring)'!$Q$335,"",$H318+1),"")</f>
        <v/>
      </c>
      <c r="I319" s="242" t="str">
        <f aca="false">_xlfn.XLOOKUP($H319,'(backend scoring)'!$S$2:$S$333,'(backend scoring)'!$A$2:$A$333,"")</f>
        <v/>
      </c>
      <c r="J319" s="242" t="str">
        <f aca="false">IFERROR(VLOOKUP($I319,'Institution Evaluation'!$A$55:$F$346,2,0),IFERROR(VLOOKUP($I319,'Privacy Analyst Evaluation'!$A$46:$F$120,2,0),""))</f>
        <v/>
      </c>
      <c r="K319" s="242" t="str">
        <f aca="false">IFERROR(VLOOKUP($I319,'Institution Evaluation'!$A$55:$F$346,3,0),IFERROR(VLOOKUP($I319,'Privacy Analyst Evaluation'!$A$46:$F$120,3,0),""))&amp;""</f>
        <v/>
      </c>
      <c r="L319" s="242" t="str">
        <f aca="false">IFERROR(VLOOKUP($I319,'Institution Evaluation'!$A$55:$F$346,4,0),IFERROR(VLOOKUP($I319,'Privacy Analyst Evaluation'!$A$46:$F$120,4,0),""))&amp;""</f>
        <v/>
      </c>
      <c r="M319" s="242" t="str">
        <f aca="false">IFERROR(VLOOKUP($I319,'Institution Evaluation'!$A$55:$F$346,6,0),IFERROR(VLOOKUP($I319,'Privacy Analyst Evaluation'!$A$46:$F$120,6,0),""))&amp;""</f>
        <v/>
      </c>
    </row>
    <row r="320" customFormat="false" ht="15" hidden="false" customHeight="false" outlineLevel="0" collapsed="false">
      <c r="A320" s="242" t="str">
        <f aca="false">IFERROR(IF($A319+1&gt;'(backend scoring)'!$T$335,"",$A319+1),"")</f>
        <v/>
      </c>
      <c r="B320" s="242" t="str">
        <f aca="false">_xlfn.XLOOKUP($A320,'(backend scoring)'!$V$2:$V$333,'(backend scoring)'!$A$2:$A$333,"")</f>
        <v/>
      </c>
      <c r="C320" s="242" t="str">
        <f aca="false">IFERROR(VLOOKUP($B320,'Institution Evaluation'!$A$55:$F$346,2,0),IFERROR(VLOOKUP($B320,'Privacy Analyst Evaluation'!$A$46:$F$120,2,0),""))&amp;""</f>
        <v/>
      </c>
      <c r="D320" s="242" t="str">
        <f aca="false">IFERROR(VLOOKUP($B320,'Institution Evaluation'!$A$55:$F$346,3,0),IFERROR(VLOOKUP($B320,'Privacy Analyst Evaluation'!$A$46:$F$120,3,0),""))&amp;""</f>
        <v/>
      </c>
      <c r="E320" s="242" t="str">
        <f aca="false">IFERROR(VLOOKUP($B320,'Institution Evaluation'!$A$55:$F$346,4,0),IFERROR(VLOOKUP($B320,'Privacy Analyst Evaluation'!$A$46:$F$120,4,0),""))&amp;""</f>
        <v/>
      </c>
      <c r="F320" s="242" t="str">
        <f aca="false">IFERROR(VLOOKUP($B320,'Institution Evaluation'!$A$55:$F$346,6,0),IFERROR(VLOOKUP($B320,'Privacy Analyst Evaluation'!$A$46:$F$120,6,0),""))&amp;""</f>
        <v/>
      </c>
      <c r="G320" s="243"/>
      <c r="H320" s="242" t="str">
        <f aca="false">IFERROR(IF($H319+1&gt;'(backend scoring)'!$Q$335,"",$H319+1),"")</f>
        <v/>
      </c>
      <c r="I320" s="242" t="str">
        <f aca="false">_xlfn.XLOOKUP($H320,'(backend scoring)'!$S$2:$S$333,'(backend scoring)'!$A$2:$A$333,"")</f>
        <v/>
      </c>
      <c r="J320" s="242" t="str">
        <f aca="false">IFERROR(VLOOKUP($I320,'Institution Evaluation'!$A$55:$F$346,2,0),IFERROR(VLOOKUP($I320,'Privacy Analyst Evaluation'!$A$46:$F$120,2,0),""))</f>
        <v/>
      </c>
      <c r="K320" s="242" t="str">
        <f aca="false">IFERROR(VLOOKUP($I320,'Institution Evaluation'!$A$55:$F$346,3,0),IFERROR(VLOOKUP($I320,'Privacy Analyst Evaluation'!$A$46:$F$120,3,0),""))&amp;""</f>
        <v/>
      </c>
      <c r="L320" s="242" t="str">
        <f aca="false">IFERROR(VLOOKUP($I320,'Institution Evaluation'!$A$55:$F$346,4,0),IFERROR(VLOOKUP($I320,'Privacy Analyst Evaluation'!$A$46:$F$120,4,0),""))&amp;""</f>
        <v/>
      </c>
      <c r="M320" s="242" t="str">
        <f aca="false">IFERROR(VLOOKUP($I320,'Institution Evaluation'!$A$55:$F$346,6,0),IFERROR(VLOOKUP($I320,'Privacy Analyst Evaluation'!$A$46:$F$120,6,0),""))&amp;""</f>
        <v/>
      </c>
    </row>
    <row r="321" customFormat="false" ht="15" hidden="false" customHeight="false" outlineLevel="0" collapsed="false">
      <c r="A321" s="242" t="str">
        <f aca="false">IFERROR(IF($A320+1&gt;'(backend scoring)'!$T$335,"",$A320+1),"")</f>
        <v/>
      </c>
      <c r="B321" s="242" t="str">
        <f aca="false">_xlfn.XLOOKUP($A321,'(backend scoring)'!$V$2:$V$333,'(backend scoring)'!$A$2:$A$333,"")</f>
        <v/>
      </c>
      <c r="C321" s="242" t="str">
        <f aca="false">IFERROR(VLOOKUP($B321,'Institution Evaluation'!$A$55:$F$346,2,0),IFERROR(VLOOKUP($B321,'Privacy Analyst Evaluation'!$A$46:$F$120,2,0),""))&amp;""</f>
        <v/>
      </c>
      <c r="D321" s="242" t="str">
        <f aca="false">IFERROR(VLOOKUP($B321,'Institution Evaluation'!$A$55:$F$346,3,0),IFERROR(VLOOKUP($B321,'Privacy Analyst Evaluation'!$A$46:$F$120,3,0),""))&amp;""</f>
        <v/>
      </c>
      <c r="E321" s="242" t="str">
        <f aca="false">IFERROR(VLOOKUP($B321,'Institution Evaluation'!$A$55:$F$346,4,0),IFERROR(VLOOKUP($B321,'Privacy Analyst Evaluation'!$A$46:$F$120,4,0),""))&amp;""</f>
        <v/>
      </c>
      <c r="F321" s="242" t="str">
        <f aca="false">IFERROR(VLOOKUP($B321,'Institution Evaluation'!$A$55:$F$346,6,0),IFERROR(VLOOKUP($B321,'Privacy Analyst Evaluation'!$A$46:$F$120,6,0),""))&amp;""</f>
        <v/>
      </c>
      <c r="G321" s="243"/>
      <c r="H321" s="242" t="str">
        <f aca="false">IFERROR(IF($H320+1&gt;'(backend scoring)'!$Q$335,"",$H320+1),"")</f>
        <v/>
      </c>
      <c r="I321" s="242" t="str">
        <f aca="false">_xlfn.XLOOKUP($H321,'(backend scoring)'!$S$2:$S$333,'(backend scoring)'!$A$2:$A$333,"")</f>
        <v/>
      </c>
      <c r="J321" s="242" t="str">
        <f aca="false">IFERROR(VLOOKUP($I321,'Institution Evaluation'!$A$55:$F$346,2,0),IFERROR(VLOOKUP($I321,'Privacy Analyst Evaluation'!$A$46:$F$120,2,0),""))</f>
        <v/>
      </c>
      <c r="K321" s="242" t="str">
        <f aca="false">IFERROR(VLOOKUP($I321,'Institution Evaluation'!$A$55:$F$346,3,0),IFERROR(VLOOKUP($I321,'Privacy Analyst Evaluation'!$A$46:$F$120,3,0),""))&amp;""</f>
        <v/>
      </c>
      <c r="L321" s="242" t="str">
        <f aca="false">IFERROR(VLOOKUP($I321,'Institution Evaluation'!$A$55:$F$346,4,0),IFERROR(VLOOKUP($I321,'Privacy Analyst Evaluation'!$A$46:$F$120,4,0),""))&amp;""</f>
        <v/>
      </c>
      <c r="M321" s="242" t="str">
        <f aca="false">IFERROR(VLOOKUP($I321,'Institution Evaluation'!$A$55:$F$346,6,0),IFERROR(VLOOKUP($I321,'Privacy Analyst Evaluation'!$A$46:$F$120,6,0),""))&amp;""</f>
        <v/>
      </c>
    </row>
    <row r="322" customFormat="false" ht="15" hidden="false" customHeight="false" outlineLevel="0" collapsed="false">
      <c r="A322" s="242" t="str">
        <f aca="false">IFERROR(IF($A321+1&gt;'(backend scoring)'!$T$335,"",$A321+1),"")</f>
        <v/>
      </c>
      <c r="B322" s="242" t="str">
        <f aca="false">_xlfn.XLOOKUP($A322,'(backend scoring)'!$V$2:$V$333,'(backend scoring)'!$A$2:$A$333,"")</f>
        <v/>
      </c>
      <c r="C322" s="242" t="str">
        <f aca="false">IFERROR(VLOOKUP($B322,'Institution Evaluation'!$A$55:$F$346,2,0),IFERROR(VLOOKUP($B322,'Privacy Analyst Evaluation'!$A$46:$F$120,2,0),""))&amp;""</f>
        <v/>
      </c>
      <c r="D322" s="242" t="str">
        <f aca="false">IFERROR(VLOOKUP($B322,'Institution Evaluation'!$A$55:$F$346,3,0),IFERROR(VLOOKUP($B322,'Privacy Analyst Evaluation'!$A$46:$F$120,3,0),""))&amp;""</f>
        <v/>
      </c>
      <c r="E322" s="242" t="str">
        <f aca="false">IFERROR(VLOOKUP($B322,'Institution Evaluation'!$A$55:$F$346,4,0),IFERROR(VLOOKUP($B322,'Privacy Analyst Evaluation'!$A$46:$F$120,4,0),""))&amp;""</f>
        <v/>
      </c>
      <c r="F322" s="242" t="str">
        <f aca="false">IFERROR(VLOOKUP($B322,'Institution Evaluation'!$A$55:$F$346,6,0),IFERROR(VLOOKUP($B322,'Privacy Analyst Evaluation'!$A$46:$F$120,6,0),""))&amp;""</f>
        <v/>
      </c>
      <c r="G322" s="243"/>
      <c r="H322" s="242" t="str">
        <f aca="false">IFERROR(IF($H321+1&gt;'(backend scoring)'!$Q$335,"",$H321+1),"")</f>
        <v/>
      </c>
      <c r="I322" s="242" t="str">
        <f aca="false">_xlfn.XLOOKUP($H322,'(backend scoring)'!$S$2:$S$333,'(backend scoring)'!$A$2:$A$333,"")</f>
        <v/>
      </c>
      <c r="J322" s="242" t="str">
        <f aca="false">IFERROR(VLOOKUP($I322,'Institution Evaluation'!$A$55:$F$346,2,0),IFERROR(VLOOKUP($I322,'Privacy Analyst Evaluation'!$A$46:$F$120,2,0),""))</f>
        <v/>
      </c>
      <c r="K322" s="242" t="str">
        <f aca="false">IFERROR(VLOOKUP($I322,'Institution Evaluation'!$A$55:$F$346,3,0),IFERROR(VLOOKUP($I322,'Privacy Analyst Evaluation'!$A$46:$F$120,3,0),""))&amp;""</f>
        <v/>
      </c>
      <c r="L322" s="242" t="str">
        <f aca="false">IFERROR(VLOOKUP($I322,'Institution Evaluation'!$A$55:$F$346,4,0),IFERROR(VLOOKUP($I322,'Privacy Analyst Evaluation'!$A$46:$F$120,4,0),""))&amp;""</f>
        <v/>
      </c>
      <c r="M322" s="242" t="str">
        <f aca="false">IFERROR(VLOOKUP($I322,'Institution Evaluation'!$A$55:$F$346,6,0),IFERROR(VLOOKUP($I322,'Privacy Analyst Evaluation'!$A$46:$F$120,6,0),""))&amp;""</f>
        <v/>
      </c>
    </row>
    <row r="323" customFormat="false" ht="15" hidden="false" customHeight="false" outlineLevel="0" collapsed="false">
      <c r="A323" s="242" t="str">
        <f aca="false">IFERROR(IF($A322+1&gt;'(backend scoring)'!$T$335,"",$A322+1),"")</f>
        <v/>
      </c>
      <c r="B323" s="242" t="str">
        <f aca="false">_xlfn.XLOOKUP($A323,'(backend scoring)'!$V$2:$V$333,'(backend scoring)'!$A$2:$A$333,"")</f>
        <v/>
      </c>
      <c r="C323" s="242" t="str">
        <f aca="false">IFERROR(VLOOKUP($B323,'Institution Evaluation'!$A$55:$F$346,2,0),IFERROR(VLOOKUP($B323,'Privacy Analyst Evaluation'!$A$46:$F$120,2,0),""))&amp;""</f>
        <v/>
      </c>
      <c r="D323" s="242" t="str">
        <f aca="false">IFERROR(VLOOKUP($B323,'Institution Evaluation'!$A$55:$F$346,3,0),IFERROR(VLOOKUP($B323,'Privacy Analyst Evaluation'!$A$46:$F$120,3,0),""))&amp;""</f>
        <v/>
      </c>
      <c r="E323" s="242" t="str">
        <f aca="false">IFERROR(VLOOKUP($B323,'Institution Evaluation'!$A$55:$F$346,4,0),IFERROR(VLOOKUP($B323,'Privacy Analyst Evaluation'!$A$46:$F$120,4,0),""))&amp;""</f>
        <v/>
      </c>
      <c r="F323" s="242" t="str">
        <f aca="false">IFERROR(VLOOKUP($B323,'Institution Evaluation'!$A$55:$F$346,6,0),IFERROR(VLOOKUP($B323,'Privacy Analyst Evaluation'!$A$46:$F$120,6,0),""))&amp;""</f>
        <v/>
      </c>
      <c r="G323" s="243"/>
      <c r="H323" s="242" t="str">
        <f aca="false">IFERROR(IF($H322+1&gt;'(backend scoring)'!$Q$335,"",$H322+1),"")</f>
        <v/>
      </c>
      <c r="I323" s="242" t="str">
        <f aca="false">_xlfn.XLOOKUP($H323,'(backend scoring)'!$S$2:$S$333,'(backend scoring)'!$A$2:$A$333,"")</f>
        <v/>
      </c>
      <c r="J323" s="242" t="str">
        <f aca="false">IFERROR(VLOOKUP($I323,'Institution Evaluation'!$A$55:$F$346,2,0),IFERROR(VLOOKUP($I323,'Privacy Analyst Evaluation'!$A$46:$F$120,2,0),""))</f>
        <v/>
      </c>
      <c r="K323" s="242" t="str">
        <f aca="false">IFERROR(VLOOKUP($I323,'Institution Evaluation'!$A$55:$F$346,3,0),IFERROR(VLOOKUP($I323,'Privacy Analyst Evaluation'!$A$46:$F$120,3,0),""))&amp;""</f>
        <v/>
      </c>
      <c r="L323" s="242" t="str">
        <f aca="false">IFERROR(VLOOKUP($I323,'Institution Evaluation'!$A$55:$F$346,4,0),IFERROR(VLOOKUP($I323,'Privacy Analyst Evaluation'!$A$46:$F$120,4,0),""))&amp;""</f>
        <v/>
      </c>
      <c r="M323" s="242" t="str">
        <f aca="false">IFERROR(VLOOKUP($I323,'Institution Evaluation'!$A$55:$F$346,6,0),IFERROR(VLOOKUP($I323,'Privacy Analyst Evaluation'!$A$46:$F$120,6,0),""))&amp;""</f>
        <v/>
      </c>
    </row>
    <row r="324" customFormat="false" ht="15" hidden="false" customHeight="false" outlineLevel="0" collapsed="false">
      <c r="A324" s="242" t="str">
        <f aca="false">IFERROR(IF($A323+1&gt;'(backend scoring)'!$T$335,"",$A323+1),"")</f>
        <v/>
      </c>
      <c r="B324" s="242" t="str">
        <f aca="false">_xlfn.XLOOKUP($A324,'(backend scoring)'!$V$2:$V$333,'(backend scoring)'!$A$2:$A$333,"")</f>
        <v/>
      </c>
      <c r="C324" s="242" t="str">
        <f aca="false">IFERROR(VLOOKUP($B324,'Institution Evaluation'!$A$55:$F$346,2,0),IFERROR(VLOOKUP($B324,'Privacy Analyst Evaluation'!$A$46:$F$120,2,0),""))&amp;""</f>
        <v/>
      </c>
      <c r="D324" s="242" t="str">
        <f aca="false">IFERROR(VLOOKUP($B324,'Institution Evaluation'!$A$55:$F$346,3,0),IFERROR(VLOOKUP($B324,'Privacy Analyst Evaluation'!$A$46:$F$120,3,0),""))&amp;""</f>
        <v/>
      </c>
      <c r="E324" s="242" t="str">
        <f aca="false">IFERROR(VLOOKUP($B324,'Institution Evaluation'!$A$55:$F$346,4,0),IFERROR(VLOOKUP($B324,'Privacy Analyst Evaluation'!$A$46:$F$120,4,0),""))&amp;""</f>
        <v/>
      </c>
      <c r="F324" s="242" t="str">
        <f aca="false">IFERROR(VLOOKUP($B324,'Institution Evaluation'!$A$55:$F$346,6,0),IFERROR(VLOOKUP($B324,'Privacy Analyst Evaluation'!$A$46:$F$120,6,0),""))&amp;""</f>
        <v/>
      </c>
      <c r="G324" s="243"/>
      <c r="H324" s="242" t="str">
        <f aca="false">IFERROR(IF($H323+1&gt;'(backend scoring)'!$Q$335,"",$H323+1),"")</f>
        <v/>
      </c>
      <c r="I324" s="242" t="str">
        <f aca="false">_xlfn.XLOOKUP($H324,'(backend scoring)'!$S$2:$S$333,'(backend scoring)'!$A$2:$A$333,"")</f>
        <v/>
      </c>
      <c r="J324" s="242" t="str">
        <f aca="false">IFERROR(VLOOKUP($I324,'Institution Evaluation'!$A$55:$F$346,2,0),IFERROR(VLOOKUP($I324,'Privacy Analyst Evaluation'!$A$46:$F$120,2,0),""))</f>
        <v/>
      </c>
      <c r="K324" s="242" t="str">
        <f aca="false">IFERROR(VLOOKUP($I324,'Institution Evaluation'!$A$55:$F$346,3,0),IFERROR(VLOOKUP($I324,'Privacy Analyst Evaluation'!$A$46:$F$120,3,0),""))&amp;""</f>
        <v/>
      </c>
      <c r="L324" s="242" t="str">
        <f aca="false">IFERROR(VLOOKUP($I324,'Institution Evaluation'!$A$55:$F$346,4,0),IFERROR(VLOOKUP($I324,'Privacy Analyst Evaluation'!$A$46:$F$120,4,0),""))&amp;""</f>
        <v/>
      </c>
      <c r="M324" s="242" t="str">
        <f aca="false">IFERROR(VLOOKUP($I324,'Institution Evaluation'!$A$55:$F$346,6,0),IFERROR(VLOOKUP($I324,'Privacy Analyst Evaluation'!$A$46:$F$120,6,0),""))&amp;""</f>
        <v/>
      </c>
    </row>
    <row r="325" customFormat="false" ht="15" hidden="false" customHeight="false" outlineLevel="0" collapsed="false">
      <c r="A325" s="242" t="str">
        <f aca="false">IFERROR(IF($A324+1&gt;'(backend scoring)'!$T$335,"",$A324+1),"")</f>
        <v/>
      </c>
      <c r="B325" s="242" t="str">
        <f aca="false">_xlfn.XLOOKUP($A325,'(backend scoring)'!$V$2:$V$333,'(backend scoring)'!$A$2:$A$333,"")</f>
        <v/>
      </c>
      <c r="C325" s="242" t="str">
        <f aca="false">IFERROR(VLOOKUP($B325,'Institution Evaluation'!$A$55:$F$346,2,0),IFERROR(VLOOKUP($B325,'Privacy Analyst Evaluation'!$A$46:$F$120,2,0),""))&amp;""</f>
        <v/>
      </c>
      <c r="D325" s="242" t="str">
        <f aca="false">IFERROR(VLOOKUP($B325,'Institution Evaluation'!$A$55:$F$346,3,0),IFERROR(VLOOKUP($B325,'Privacy Analyst Evaluation'!$A$46:$F$120,3,0),""))&amp;""</f>
        <v/>
      </c>
      <c r="E325" s="242" t="str">
        <f aca="false">IFERROR(VLOOKUP($B325,'Institution Evaluation'!$A$55:$F$346,4,0),IFERROR(VLOOKUP($B325,'Privacy Analyst Evaluation'!$A$46:$F$120,4,0),""))&amp;""</f>
        <v/>
      </c>
      <c r="F325" s="242" t="str">
        <f aca="false">IFERROR(VLOOKUP($B325,'Institution Evaluation'!$A$55:$F$346,6,0),IFERROR(VLOOKUP($B325,'Privacy Analyst Evaluation'!$A$46:$F$120,6,0),""))&amp;""</f>
        <v/>
      </c>
      <c r="G325" s="243"/>
      <c r="H325" s="242" t="str">
        <f aca="false">IFERROR(IF($H324+1&gt;'(backend scoring)'!$Q$335,"",$H324+1),"")</f>
        <v/>
      </c>
      <c r="I325" s="242" t="str">
        <f aca="false">_xlfn.XLOOKUP($H325,'(backend scoring)'!$S$2:$S$333,'(backend scoring)'!$A$2:$A$333,"")</f>
        <v/>
      </c>
      <c r="J325" s="242" t="str">
        <f aca="false">IFERROR(VLOOKUP($I325,'Institution Evaluation'!$A$55:$F$346,2,0),IFERROR(VLOOKUP($I325,'Privacy Analyst Evaluation'!$A$46:$F$120,2,0),""))</f>
        <v/>
      </c>
      <c r="K325" s="242" t="str">
        <f aca="false">IFERROR(VLOOKUP($I325,'Institution Evaluation'!$A$55:$F$346,3,0),IFERROR(VLOOKUP($I325,'Privacy Analyst Evaluation'!$A$46:$F$120,3,0),""))&amp;""</f>
        <v/>
      </c>
      <c r="L325" s="242" t="str">
        <f aca="false">IFERROR(VLOOKUP($I325,'Institution Evaluation'!$A$55:$F$346,4,0),IFERROR(VLOOKUP($I325,'Privacy Analyst Evaluation'!$A$46:$F$120,4,0),""))&amp;""</f>
        <v/>
      </c>
      <c r="M325" s="242" t="str">
        <f aca="false">IFERROR(VLOOKUP($I325,'Institution Evaluation'!$A$55:$F$346,6,0),IFERROR(VLOOKUP($I325,'Privacy Analyst Evaluation'!$A$46:$F$120,6,0),""))&amp;""</f>
        <v/>
      </c>
    </row>
    <row r="326" customFormat="false" ht="15" hidden="false" customHeight="false" outlineLevel="0" collapsed="false">
      <c r="A326" s="242" t="str">
        <f aca="false">IFERROR(IF($A325+1&gt;'(backend scoring)'!$T$335,"",$A325+1),"")</f>
        <v/>
      </c>
      <c r="B326" s="242" t="str">
        <f aca="false">_xlfn.XLOOKUP($A326,'(backend scoring)'!$V$2:$V$333,'(backend scoring)'!$A$2:$A$333,"")</f>
        <v/>
      </c>
      <c r="C326" s="242" t="str">
        <f aca="false">IFERROR(VLOOKUP($B326,'Institution Evaluation'!$A$55:$F$346,2,0),IFERROR(VLOOKUP($B326,'Privacy Analyst Evaluation'!$A$46:$F$120,2,0),""))&amp;""</f>
        <v/>
      </c>
      <c r="D326" s="242" t="str">
        <f aca="false">IFERROR(VLOOKUP($B326,'Institution Evaluation'!$A$55:$F$346,3,0),IFERROR(VLOOKUP($B326,'Privacy Analyst Evaluation'!$A$46:$F$120,3,0),""))&amp;""</f>
        <v/>
      </c>
      <c r="E326" s="242" t="str">
        <f aca="false">IFERROR(VLOOKUP($B326,'Institution Evaluation'!$A$55:$F$346,4,0),IFERROR(VLOOKUP($B326,'Privacy Analyst Evaluation'!$A$46:$F$120,4,0),""))&amp;""</f>
        <v/>
      </c>
      <c r="F326" s="242" t="str">
        <f aca="false">IFERROR(VLOOKUP($B326,'Institution Evaluation'!$A$55:$F$346,6,0),IFERROR(VLOOKUP($B326,'Privacy Analyst Evaluation'!$A$46:$F$120,6,0),""))&amp;""</f>
        <v/>
      </c>
      <c r="G326" s="243"/>
      <c r="H326" s="242" t="str">
        <f aca="false">IFERROR(IF($H325+1&gt;'(backend scoring)'!$Q$335,"",$H325+1),"")</f>
        <v/>
      </c>
      <c r="I326" s="242" t="str">
        <f aca="false">_xlfn.XLOOKUP($H326,'(backend scoring)'!$S$2:$S$333,'(backend scoring)'!$A$2:$A$333,"")</f>
        <v/>
      </c>
      <c r="J326" s="242" t="str">
        <f aca="false">IFERROR(VLOOKUP($I326,'Institution Evaluation'!$A$55:$F$346,2,0),IFERROR(VLOOKUP($I326,'Privacy Analyst Evaluation'!$A$46:$F$120,2,0),""))</f>
        <v/>
      </c>
      <c r="K326" s="242" t="str">
        <f aca="false">IFERROR(VLOOKUP($I326,'Institution Evaluation'!$A$55:$F$346,3,0),IFERROR(VLOOKUP($I326,'Privacy Analyst Evaluation'!$A$46:$F$120,3,0),""))&amp;""</f>
        <v/>
      </c>
      <c r="L326" s="242" t="str">
        <f aca="false">IFERROR(VLOOKUP($I326,'Institution Evaluation'!$A$55:$F$346,4,0),IFERROR(VLOOKUP($I326,'Privacy Analyst Evaluation'!$A$46:$F$120,4,0),""))&amp;""</f>
        <v/>
      </c>
      <c r="M326" s="242" t="str">
        <f aca="false">IFERROR(VLOOKUP($I326,'Institution Evaluation'!$A$55:$F$346,6,0),IFERROR(VLOOKUP($I326,'Privacy Analyst Evaluation'!$A$46:$F$120,6,0),""))&amp;""</f>
        <v/>
      </c>
    </row>
    <row r="327" customFormat="false" ht="15" hidden="false" customHeight="false" outlineLevel="0" collapsed="false">
      <c r="A327" s="242" t="str">
        <f aca="false">IFERROR(IF($A326+1&gt;'(backend scoring)'!$T$335,"",$A326+1),"")</f>
        <v/>
      </c>
      <c r="B327" s="242" t="str">
        <f aca="false">_xlfn.XLOOKUP($A327,'(backend scoring)'!$V$2:$V$333,'(backend scoring)'!$A$2:$A$333,"")</f>
        <v/>
      </c>
      <c r="C327" s="242" t="str">
        <f aca="false">IFERROR(VLOOKUP($B327,'Institution Evaluation'!$A$55:$F$346,2,0),IFERROR(VLOOKUP($B327,'Privacy Analyst Evaluation'!$A$46:$F$120,2,0),""))&amp;""</f>
        <v/>
      </c>
      <c r="D327" s="242" t="str">
        <f aca="false">IFERROR(VLOOKUP($B327,'Institution Evaluation'!$A$55:$F$346,3,0),IFERROR(VLOOKUP($B327,'Privacy Analyst Evaluation'!$A$46:$F$120,3,0),""))&amp;""</f>
        <v/>
      </c>
      <c r="E327" s="242" t="str">
        <f aca="false">IFERROR(VLOOKUP($B327,'Institution Evaluation'!$A$55:$F$346,4,0),IFERROR(VLOOKUP($B327,'Privacy Analyst Evaluation'!$A$46:$F$120,4,0),""))&amp;""</f>
        <v/>
      </c>
      <c r="F327" s="242" t="str">
        <f aca="false">IFERROR(VLOOKUP($B327,'Institution Evaluation'!$A$55:$F$346,6,0),IFERROR(VLOOKUP($B327,'Privacy Analyst Evaluation'!$A$46:$F$120,6,0),""))&amp;""</f>
        <v/>
      </c>
      <c r="G327" s="243"/>
      <c r="H327" s="242" t="str">
        <f aca="false">IFERROR(IF($H326+1&gt;'(backend scoring)'!$Q$335,"",$H326+1),"")</f>
        <v/>
      </c>
      <c r="I327" s="242" t="str">
        <f aca="false">_xlfn.XLOOKUP($H327,'(backend scoring)'!$S$2:$S$333,'(backend scoring)'!$A$2:$A$333,"")</f>
        <v/>
      </c>
      <c r="J327" s="242" t="str">
        <f aca="false">IFERROR(VLOOKUP($I327,'Institution Evaluation'!$A$55:$F$346,2,0),IFERROR(VLOOKUP($I327,'Privacy Analyst Evaluation'!$A$46:$F$120,2,0),""))</f>
        <v/>
      </c>
      <c r="K327" s="242" t="str">
        <f aca="false">IFERROR(VLOOKUP($I327,'Institution Evaluation'!$A$55:$F$346,3,0),IFERROR(VLOOKUP($I327,'Privacy Analyst Evaluation'!$A$46:$F$120,3,0),""))&amp;""</f>
        <v/>
      </c>
      <c r="L327" s="242" t="str">
        <f aca="false">IFERROR(VLOOKUP($I327,'Institution Evaluation'!$A$55:$F$346,4,0),IFERROR(VLOOKUP($I327,'Privacy Analyst Evaluation'!$A$46:$F$120,4,0),""))&amp;""</f>
        <v/>
      </c>
      <c r="M327" s="242" t="str">
        <f aca="false">IFERROR(VLOOKUP($I327,'Institution Evaluation'!$A$55:$F$346,6,0),IFERROR(VLOOKUP($I327,'Privacy Analyst Evaluation'!$A$46:$F$120,6,0),""))&amp;""</f>
        <v/>
      </c>
    </row>
    <row r="328" customFormat="false" ht="15" hidden="false" customHeight="false" outlineLevel="0" collapsed="false">
      <c r="A328" s="242" t="str">
        <f aca="false">IFERROR(IF($A327+1&gt;'(backend scoring)'!$T$335,"",$A327+1),"")</f>
        <v/>
      </c>
      <c r="B328" s="242" t="str">
        <f aca="false">_xlfn.XLOOKUP($A328,'(backend scoring)'!$V$2:$V$333,'(backend scoring)'!$A$2:$A$333,"")</f>
        <v/>
      </c>
      <c r="C328" s="242" t="str">
        <f aca="false">IFERROR(VLOOKUP($B328,'Institution Evaluation'!$A$55:$F$346,2,0),IFERROR(VLOOKUP($B328,'Privacy Analyst Evaluation'!$A$46:$F$120,2,0),""))&amp;""</f>
        <v/>
      </c>
      <c r="D328" s="242" t="str">
        <f aca="false">IFERROR(VLOOKUP($B328,'Institution Evaluation'!$A$55:$F$346,3,0),IFERROR(VLOOKUP($B328,'Privacy Analyst Evaluation'!$A$46:$F$120,3,0),""))&amp;""</f>
        <v/>
      </c>
      <c r="E328" s="242" t="str">
        <f aca="false">IFERROR(VLOOKUP($B328,'Institution Evaluation'!$A$55:$F$346,4,0),IFERROR(VLOOKUP($B328,'Privacy Analyst Evaluation'!$A$46:$F$120,4,0),""))&amp;""</f>
        <v/>
      </c>
      <c r="F328" s="242" t="str">
        <f aca="false">IFERROR(VLOOKUP($B328,'Institution Evaluation'!$A$55:$F$346,6,0),IFERROR(VLOOKUP($B328,'Privacy Analyst Evaluation'!$A$46:$F$120,6,0),""))&amp;""</f>
        <v/>
      </c>
      <c r="G328" s="243"/>
      <c r="H328" s="242" t="str">
        <f aca="false">IFERROR(IF($H327+1&gt;'(backend scoring)'!$Q$335,"",$H327+1),"")</f>
        <v/>
      </c>
      <c r="I328" s="242" t="str">
        <f aca="false">_xlfn.XLOOKUP($H328,'(backend scoring)'!$S$2:$S$333,'(backend scoring)'!$A$2:$A$333,"")</f>
        <v/>
      </c>
      <c r="J328" s="242" t="str">
        <f aca="false">IFERROR(VLOOKUP($I328,'Institution Evaluation'!$A$55:$F$346,2,0),IFERROR(VLOOKUP($I328,'Privacy Analyst Evaluation'!$A$46:$F$120,2,0),""))</f>
        <v/>
      </c>
      <c r="K328" s="242" t="str">
        <f aca="false">IFERROR(VLOOKUP($I328,'Institution Evaluation'!$A$55:$F$346,3,0),IFERROR(VLOOKUP($I328,'Privacy Analyst Evaluation'!$A$46:$F$120,3,0),""))&amp;""</f>
        <v/>
      </c>
      <c r="L328" s="242" t="str">
        <f aca="false">IFERROR(VLOOKUP($I328,'Institution Evaluation'!$A$55:$F$346,4,0),IFERROR(VLOOKUP($I328,'Privacy Analyst Evaluation'!$A$46:$F$120,4,0),""))&amp;""</f>
        <v/>
      </c>
      <c r="M328" s="242" t="str">
        <f aca="false">IFERROR(VLOOKUP($I328,'Institution Evaluation'!$A$55:$F$346,6,0),IFERROR(VLOOKUP($I328,'Privacy Analyst Evaluation'!$A$46:$F$120,6,0),""))&amp;""</f>
        <v/>
      </c>
    </row>
    <row r="329" customFormat="false" ht="15" hidden="false" customHeight="false" outlineLevel="0" collapsed="false">
      <c r="A329" s="242" t="str">
        <f aca="false">IFERROR(IF($A328+1&gt;'(backend scoring)'!$T$335,"",$A328+1),"")</f>
        <v/>
      </c>
      <c r="B329" s="242" t="str">
        <f aca="false">_xlfn.XLOOKUP($A329,'(backend scoring)'!$V$2:$V$333,'(backend scoring)'!$A$2:$A$333,"")</f>
        <v/>
      </c>
      <c r="C329" s="242" t="str">
        <f aca="false">IFERROR(VLOOKUP($B329,'Institution Evaluation'!$A$55:$F$346,2,0),IFERROR(VLOOKUP($B329,'Privacy Analyst Evaluation'!$A$46:$F$120,2,0),""))&amp;""</f>
        <v/>
      </c>
      <c r="D329" s="242" t="str">
        <f aca="false">IFERROR(VLOOKUP($B329,'Institution Evaluation'!$A$55:$F$346,3,0),IFERROR(VLOOKUP($B329,'Privacy Analyst Evaluation'!$A$46:$F$120,3,0),""))&amp;""</f>
        <v/>
      </c>
      <c r="E329" s="242" t="str">
        <f aca="false">IFERROR(VLOOKUP($B329,'Institution Evaluation'!$A$55:$F$346,4,0),IFERROR(VLOOKUP($B329,'Privacy Analyst Evaluation'!$A$46:$F$120,4,0),""))&amp;""</f>
        <v/>
      </c>
      <c r="F329" s="242" t="str">
        <f aca="false">IFERROR(VLOOKUP($B329,'Institution Evaluation'!$A$55:$F$346,6,0),IFERROR(VLOOKUP($B329,'Privacy Analyst Evaluation'!$A$46:$F$120,6,0),""))&amp;""</f>
        <v/>
      </c>
      <c r="G329" s="243"/>
      <c r="H329" s="242" t="str">
        <f aca="false">IFERROR(IF($H328+1&gt;'(backend scoring)'!$Q$335,"",$H328+1),"")</f>
        <v/>
      </c>
      <c r="I329" s="242" t="str">
        <f aca="false">_xlfn.XLOOKUP($H329,'(backend scoring)'!$S$2:$S$333,'(backend scoring)'!$A$2:$A$333,"")</f>
        <v/>
      </c>
      <c r="J329" s="242" t="str">
        <f aca="false">IFERROR(VLOOKUP($I329,'Institution Evaluation'!$A$55:$F$346,2,0),IFERROR(VLOOKUP($I329,'Privacy Analyst Evaluation'!$A$46:$F$120,2,0),""))</f>
        <v/>
      </c>
      <c r="K329" s="242" t="str">
        <f aca="false">IFERROR(VLOOKUP($I329,'Institution Evaluation'!$A$55:$F$346,3,0),IFERROR(VLOOKUP($I329,'Privacy Analyst Evaluation'!$A$46:$F$120,3,0),""))&amp;""</f>
        <v/>
      </c>
      <c r="L329" s="242" t="str">
        <f aca="false">IFERROR(VLOOKUP($I329,'Institution Evaluation'!$A$55:$F$346,4,0),IFERROR(VLOOKUP($I329,'Privacy Analyst Evaluation'!$A$46:$F$120,4,0),""))&amp;""</f>
        <v/>
      </c>
      <c r="M329" s="242" t="str">
        <f aca="false">IFERROR(VLOOKUP($I329,'Institution Evaluation'!$A$55:$F$346,6,0),IFERROR(VLOOKUP($I329,'Privacy Analyst Evaluation'!$A$46:$F$120,6,0),""))&amp;""</f>
        <v/>
      </c>
    </row>
    <row r="330" customFormat="false" ht="15" hidden="false" customHeight="false" outlineLevel="0" collapsed="false">
      <c r="A330" s="242" t="str">
        <f aca="false">IFERROR(IF($A329+1&gt;'(backend scoring)'!$T$335,"",$A329+1),"")</f>
        <v/>
      </c>
      <c r="B330" s="242" t="str">
        <f aca="false">_xlfn.XLOOKUP($A330,'(backend scoring)'!$V$2:$V$333,'(backend scoring)'!$A$2:$A$333,"")</f>
        <v/>
      </c>
      <c r="C330" s="242" t="str">
        <f aca="false">IFERROR(VLOOKUP($B330,'Institution Evaluation'!$A$55:$F$346,2,0),IFERROR(VLOOKUP($B330,'Privacy Analyst Evaluation'!$A$46:$F$120,2,0),""))&amp;""</f>
        <v/>
      </c>
      <c r="D330" s="242" t="str">
        <f aca="false">IFERROR(VLOOKUP($B330,'Institution Evaluation'!$A$55:$F$346,3,0),IFERROR(VLOOKUP($B330,'Privacy Analyst Evaluation'!$A$46:$F$120,3,0),""))&amp;""</f>
        <v/>
      </c>
      <c r="E330" s="242" t="str">
        <f aca="false">IFERROR(VLOOKUP($B330,'Institution Evaluation'!$A$55:$F$346,4,0),IFERROR(VLOOKUP($B330,'Privacy Analyst Evaluation'!$A$46:$F$120,4,0),""))&amp;""</f>
        <v/>
      </c>
      <c r="F330" s="242" t="str">
        <f aca="false">IFERROR(VLOOKUP($B330,'Institution Evaluation'!$A$55:$F$346,6,0),IFERROR(VLOOKUP($B330,'Privacy Analyst Evaluation'!$A$46:$F$120,6,0),""))&amp;""</f>
        <v/>
      </c>
      <c r="G330" s="243"/>
      <c r="H330" s="242" t="str">
        <f aca="false">IFERROR(IF($H329+1&gt;'(backend scoring)'!$Q$335,"",$H329+1),"")</f>
        <v/>
      </c>
      <c r="I330" s="242" t="str">
        <f aca="false">_xlfn.XLOOKUP($H330,'(backend scoring)'!$S$2:$S$333,'(backend scoring)'!$A$2:$A$333,"")</f>
        <v/>
      </c>
      <c r="J330" s="242" t="str">
        <f aca="false">IFERROR(VLOOKUP($I330,'Institution Evaluation'!$A$55:$F$346,2,0),IFERROR(VLOOKUP($I330,'Privacy Analyst Evaluation'!$A$46:$F$120,2,0),""))</f>
        <v/>
      </c>
      <c r="K330" s="242" t="str">
        <f aca="false">IFERROR(VLOOKUP($I330,'Institution Evaluation'!$A$55:$F$346,3,0),IFERROR(VLOOKUP($I330,'Privacy Analyst Evaluation'!$A$46:$F$120,3,0),""))&amp;""</f>
        <v/>
      </c>
      <c r="L330" s="242" t="str">
        <f aca="false">IFERROR(VLOOKUP($I330,'Institution Evaluation'!$A$55:$F$346,4,0),IFERROR(VLOOKUP($I330,'Privacy Analyst Evaluation'!$A$46:$F$120,4,0),""))&amp;""</f>
        <v/>
      </c>
      <c r="M330" s="242" t="str">
        <f aca="false">IFERROR(VLOOKUP($I330,'Institution Evaluation'!$A$55:$F$346,6,0),IFERROR(VLOOKUP($I330,'Privacy Analyst Evaluation'!$A$46:$F$120,6,0),""))&amp;""</f>
        <v/>
      </c>
    </row>
    <row r="331" customFormat="false" ht="15" hidden="false" customHeight="false" outlineLevel="0" collapsed="false">
      <c r="A331" s="242" t="str">
        <f aca="false">IFERROR(IF($A330+1&gt;'(backend scoring)'!$T$335,"",$A330+1),"")</f>
        <v/>
      </c>
      <c r="B331" s="242" t="str">
        <f aca="false">_xlfn.XLOOKUP($A331,'(backend scoring)'!$V$2:$V$333,'(backend scoring)'!$A$2:$A$333,"")</f>
        <v/>
      </c>
      <c r="C331" s="242" t="str">
        <f aca="false">IFERROR(VLOOKUP($B331,'Institution Evaluation'!$A$55:$F$346,2,0),IFERROR(VLOOKUP($B331,'Privacy Analyst Evaluation'!$A$46:$F$120,2,0),""))&amp;""</f>
        <v/>
      </c>
      <c r="D331" s="242" t="str">
        <f aca="false">IFERROR(VLOOKUP($B331,'Institution Evaluation'!$A$55:$F$346,3,0),IFERROR(VLOOKUP($B331,'Privacy Analyst Evaluation'!$A$46:$F$120,3,0),""))&amp;""</f>
        <v/>
      </c>
      <c r="E331" s="242" t="str">
        <f aca="false">IFERROR(VLOOKUP($B331,'Institution Evaluation'!$A$55:$F$346,4,0),IFERROR(VLOOKUP($B331,'Privacy Analyst Evaluation'!$A$46:$F$120,4,0),""))&amp;""</f>
        <v/>
      </c>
      <c r="F331" s="242" t="str">
        <f aca="false">IFERROR(VLOOKUP($B331,'Institution Evaluation'!$A$55:$F$346,6,0),IFERROR(VLOOKUP($B331,'Privacy Analyst Evaluation'!$A$46:$F$120,6,0),""))&amp;""</f>
        <v/>
      </c>
      <c r="G331" s="243"/>
      <c r="H331" s="242" t="str">
        <f aca="false">IFERROR(IF($H330+1&gt;'(backend scoring)'!$Q$335,"",$H330+1),"")</f>
        <v/>
      </c>
      <c r="I331" s="242" t="str">
        <f aca="false">_xlfn.XLOOKUP($H331,'(backend scoring)'!$S$2:$S$333,'(backend scoring)'!$A$2:$A$333,"")</f>
        <v/>
      </c>
      <c r="J331" s="242" t="str">
        <f aca="false">IFERROR(VLOOKUP($I331,'Institution Evaluation'!$A$55:$F$346,2,0),IFERROR(VLOOKUP($I331,'Privacy Analyst Evaluation'!$A$46:$F$120,2,0),""))</f>
        <v/>
      </c>
      <c r="K331" s="242" t="str">
        <f aca="false">IFERROR(VLOOKUP($I331,'Institution Evaluation'!$A$55:$F$346,3,0),IFERROR(VLOOKUP($I331,'Privacy Analyst Evaluation'!$A$46:$F$120,3,0),""))&amp;""</f>
        <v/>
      </c>
      <c r="L331" s="242" t="str">
        <f aca="false">IFERROR(VLOOKUP($I331,'Institution Evaluation'!$A$55:$F$346,4,0),IFERROR(VLOOKUP($I331,'Privacy Analyst Evaluation'!$A$46:$F$120,4,0),""))&amp;""</f>
        <v/>
      </c>
      <c r="M331" s="242" t="str">
        <f aca="false">IFERROR(VLOOKUP($I331,'Institution Evaluation'!$A$55:$F$346,6,0),IFERROR(VLOOKUP($I331,'Privacy Analyst Evaluation'!$A$46:$F$120,6,0),""))&amp;""</f>
        <v/>
      </c>
    </row>
    <row r="332" customFormat="false" ht="15" hidden="false" customHeight="false" outlineLevel="0" collapsed="false">
      <c r="A332" s="242" t="str">
        <f aca="false">IFERROR(IF($A331+1&gt;'(backend scoring)'!$T$335,"",$A331+1),"")</f>
        <v/>
      </c>
      <c r="B332" s="242" t="str">
        <f aca="false">_xlfn.XLOOKUP($A332,'(backend scoring)'!$V$2:$V$333,'(backend scoring)'!$A$2:$A$333,"")</f>
        <v/>
      </c>
      <c r="C332" s="242" t="str">
        <f aca="false">IFERROR(VLOOKUP($B332,'Institution Evaluation'!$A$55:$F$346,2,0),IFERROR(VLOOKUP($B332,'Privacy Analyst Evaluation'!$A$46:$F$120,2,0),""))&amp;""</f>
        <v/>
      </c>
      <c r="D332" s="242" t="str">
        <f aca="false">IFERROR(VLOOKUP($B332,'Institution Evaluation'!$A$55:$F$346,3,0),IFERROR(VLOOKUP($B332,'Privacy Analyst Evaluation'!$A$46:$F$120,3,0),""))&amp;""</f>
        <v/>
      </c>
      <c r="E332" s="242" t="str">
        <f aca="false">IFERROR(VLOOKUP($B332,'Institution Evaluation'!$A$55:$F$346,4,0),IFERROR(VLOOKUP($B332,'Privacy Analyst Evaluation'!$A$46:$F$120,4,0),""))&amp;""</f>
        <v/>
      </c>
      <c r="F332" s="242" t="str">
        <f aca="false">IFERROR(VLOOKUP($B332,'Institution Evaluation'!$A$55:$F$346,6,0),IFERROR(VLOOKUP($B332,'Privacy Analyst Evaluation'!$A$46:$F$120,6,0),""))&amp;""</f>
        <v/>
      </c>
      <c r="G332" s="243"/>
      <c r="H332" s="242" t="str">
        <f aca="false">IFERROR(IF($H331+1&gt;'(backend scoring)'!$Q$335,"",$H331+1),"")</f>
        <v/>
      </c>
      <c r="I332" s="242" t="str">
        <f aca="false">_xlfn.XLOOKUP($H332,'(backend scoring)'!$S$2:$S$333,'(backend scoring)'!$A$2:$A$333,"")</f>
        <v/>
      </c>
      <c r="J332" s="242" t="str">
        <f aca="false">IFERROR(VLOOKUP($I332,'Institution Evaluation'!$A$55:$F$346,2,0),IFERROR(VLOOKUP($I332,'Privacy Analyst Evaluation'!$A$46:$F$120,2,0),""))</f>
        <v/>
      </c>
      <c r="K332" s="242" t="str">
        <f aca="false">IFERROR(VLOOKUP($I332,'Institution Evaluation'!$A$55:$F$346,3,0),IFERROR(VLOOKUP($I332,'Privacy Analyst Evaluation'!$A$46:$F$120,3,0),""))&amp;""</f>
        <v/>
      </c>
      <c r="L332" s="242" t="str">
        <f aca="false">IFERROR(VLOOKUP($I332,'Institution Evaluation'!$A$55:$F$346,4,0),IFERROR(VLOOKUP($I332,'Privacy Analyst Evaluation'!$A$46:$F$120,4,0),""))&amp;""</f>
        <v/>
      </c>
      <c r="M332" s="242" t="str">
        <f aca="false">IFERROR(VLOOKUP($I332,'Institution Evaluation'!$A$55:$F$346,6,0),IFERROR(VLOOKUP($I332,'Privacy Analyst Evaluation'!$A$46:$F$120,6,0),""))&amp;""</f>
        <v/>
      </c>
    </row>
    <row r="333" customFormat="false" ht="15" hidden="false" customHeight="false" outlineLevel="0" collapsed="false">
      <c r="A333" s="242" t="str">
        <f aca="false">IFERROR(IF($A332+1&gt;'(backend scoring)'!$T$335,"",$A332+1),"")</f>
        <v/>
      </c>
      <c r="B333" s="242" t="str">
        <f aca="false">_xlfn.XLOOKUP($A333,'(backend scoring)'!$V$2:$V$333,'(backend scoring)'!$A$2:$A$333,"")</f>
        <v/>
      </c>
      <c r="C333" s="242" t="str">
        <f aca="false">IFERROR(VLOOKUP($B333,'Institution Evaluation'!$A$55:$F$346,2,0),IFERROR(VLOOKUP($B333,'Privacy Analyst Evaluation'!$A$46:$F$120,2,0),""))&amp;""</f>
        <v/>
      </c>
      <c r="D333" s="242" t="str">
        <f aca="false">IFERROR(VLOOKUP($B333,'Institution Evaluation'!$A$55:$F$346,3,0),IFERROR(VLOOKUP($B333,'Privacy Analyst Evaluation'!$A$46:$F$120,3,0),""))&amp;""</f>
        <v/>
      </c>
      <c r="E333" s="242" t="str">
        <f aca="false">IFERROR(VLOOKUP($B333,'Institution Evaluation'!$A$55:$F$346,4,0),IFERROR(VLOOKUP($B333,'Privacy Analyst Evaluation'!$A$46:$F$120,4,0),""))&amp;""</f>
        <v/>
      </c>
      <c r="F333" s="242" t="str">
        <f aca="false">IFERROR(VLOOKUP($B333,'Institution Evaluation'!$A$55:$F$346,6,0),IFERROR(VLOOKUP($B333,'Privacy Analyst Evaluation'!$A$46:$F$120,6,0),""))&amp;""</f>
        <v/>
      </c>
      <c r="G333" s="243"/>
      <c r="H333" s="242" t="str">
        <f aca="false">IFERROR(IF($H332+1&gt;'(backend scoring)'!$Q$335,"",$H332+1),"")</f>
        <v/>
      </c>
      <c r="I333" s="242" t="str">
        <f aca="false">_xlfn.XLOOKUP($H333,'(backend scoring)'!$S$2:$S$333,'(backend scoring)'!$A$2:$A$333,"")</f>
        <v/>
      </c>
      <c r="J333" s="242" t="str">
        <f aca="false">IFERROR(VLOOKUP($I333,'Institution Evaluation'!$A$55:$F$346,2,0),IFERROR(VLOOKUP($I333,'Privacy Analyst Evaluation'!$A$46:$F$120,2,0),""))</f>
        <v/>
      </c>
      <c r="K333" s="242" t="str">
        <f aca="false">IFERROR(VLOOKUP($I333,'Institution Evaluation'!$A$55:$F$346,3,0),IFERROR(VLOOKUP($I333,'Privacy Analyst Evaluation'!$A$46:$F$120,3,0),""))&amp;""</f>
        <v/>
      </c>
      <c r="L333" s="242" t="str">
        <f aca="false">IFERROR(VLOOKUP($I333,'Institution Evaluation'!$A$55:$F$346,4,0),IFERROR(VLOOKUP($I333,'Privacy Analyst Evaluation'!$A$46:$F$120,4,0),""))&amp;""</f>
        <v/>
      </c>
      <c r="M333" s="242" t="str">
        <f aca="false">IFERROR(VLOOKUP($I333,'Institution Evaluation'!$A$55:$F$346,6,0),IFERROR(VLOOKUP($I333,'Privacy Analyst Evaluation'!$A$46:$F$120,6,0),""))&amp;""</f>
        <v/>
      </c>
    </row>
    <row r="334" customFormat="false" ht="15" hidden="false" customHeight="false" outlineLevel="0" collapsed="false">
      <c r="A334" s="242" t="str">
        <f aca="false">IFERROR(IF($A333+1&gt;'(backend scoring)'!$T$335,"",$A333+1),"")</f>
        <v/>
      </c>
      <c r="B334" s="242" t="str">
        <f aca="false">_xlfn.XLOOKUP($A334,'(backend scoring)'!$V$2:$V$333,'(backend scoring)'!$A$2:$A$333,"")</f>
        <v/>
      </c>
      <c r="C334" s="242" t="str">
        <f aca="false">IFERROR(VLOOKUP($B334,'Institution Evaluation'!$A$55:$F$346,2,0),IFERROR(VLOOKUP($B334,'Privacy Analyst Evaluation'!$A$46:$F$120,2,0),""))&amp;""</f>
        <v/>
      </c>
      <c r="D334" s="242" t="str">
        <f aca="false">IFERROR(VLOOKUP($B334,'Institution Evaluation'!$A$55:$F$346,3,0),IFERROR(VLOOKUP($B334,'Privacy Analyst Evaluation'!$A$46:$F$120,3,0),""))&amp;""</f>
        <v/>
      </c>
      <c r="E334" s="242" t="str">
        <f aca="false">IFERROR(VLOOKUP($B334,'Institution Evaluation'!$A$55:$F$346,4,0),IFERROR(VLOOKUP($B334,'Privacy Analyst Evaluation'!$A$46:$F$120,4,0),""))&amp;""</f>
        <v/>
      </c>
      <c r="F334" s="242" t="str">
        <f aca="false">IFERROR(VLOOKUP($B334,'Institution Evaluation'!$A$55:$F$346,6,0),IFERROR(VLOOKUP($B334,'Privacy Analyst Evaluation'!$A$46:$F$120,6,0),""))&amp;""</f>
        <v/>
      </c>
      <c r="G334" s="243"/>
      <c r="H334" s="242" t="str">
        <f aca="false">IFERROR(IF($H333+1&gt;'(backend scoring)'!$Q$335,"",$H333+1),"")</f>
        <v/>
      </c>
      <c r="I334" s="242" t="str">
        <f aca="false">_xlfn.XLOOKUP($H334,'(backend scoring)'!$S$2:$S$333,'(backend scoring)'!$A$2:$A$333,"")</f>
        <v/>
      </c>
      <c r="J334" s="242" t="str">
        <f aca="false">IFERROR(VLOOKUP($I334,'Institution Evaluation'!$A$55:$F$346,2,0),IFERROR(VLOOKUP($I334,'Privacy Analyst Evaluation'!$A$46:$F$120,2,0),""))</f>
        <v/>
      </c>
      <c r="K334" s="242" t="str">
        <f aca="false">IFERROR(VLOOKUP($I334,'Institution Evaluation'!$A$55:$F$346,3,0),IFERROR(VLOOKUP($I334,'Privacy Analyst Evaluation'!$A$46:$F$120,3,0),""))&amp;""</f>
        <v/>
      </c>
      <c r="L334" s="242" t="str">
        <f aca="false">IFERROR(VLOOKUP($I334,'Institution Evaluation'!$A$55:$F$346,4,0),IFERROR(VLOOKUP($I334,'Privacy Analyst Evaluation'!$A$46:$F$120,4,0),""))&amp;""</f>
        <v/>
      </c>
      <c r="M334" s="242" t="str">
        <f aca="false">IFERROR(VLOOKUP($I334,'Institution Evaluation'!$A$55:$F$346,6,0),IFERROR(VLOOKUP($I334,'Privacy Analyst Evaluation'!$A$46:$F$120,6,0),""))&amp;""</f>
        <v/>
      </c>
    </row>
    <row r="335" customFormat="false" ht="15" hidden="false" customHeight="false" outlineLevel="0" collapsed="false">
      <c r="A335" s="242" t="str">
        <f aca="false">IFERROR(IF($A334+1&gt;'(backend scoring)'!$T$335,"",$A334+1),"")</f>
        <v/>
      </c>
      <c r="B335" s="242" t="str">
        <f aca="false">_xlfn.XLOOKUP($A335,'(backend scoring)'!$V$2:$V$333,'(backend scoring)'!$A$2:$A$333,"")</f>
        <v/>
      </c>
      <c r="C335" s="242" t="str">
        <f aca="false">IFERROR(VLOOKUP($B335,'Institution Evaluation'!$A$55:$F$346,2,0),IFERROR(VLOOKUP($B335,'Privacy Analyst Evaluation'!$A$46:$F$120,2,0),""))&amp;""</f>
        <v/>
      </c>
      <c r="D335" s="242" t="str">
        <f aca="false">IFERROR(VLOOKUP($B335,'Institution Evaluation'!$A$55:$F$346,3,0),IFERROR(VLOOKUP($B335,'Privacy Analyst Evaluation'!$A$46:$F$120,3,0),""))&amp;""</f>
        <v/>
      </c>
      <c r="E335" s="242" t="str">
        <f aca="false">IFERROR(VLOOKUP($B335,'Institution Evaluation'!$A$55:$F$346,4,0),IFERROR(VLOOKUP($B335,'Privacy Analyst Evaluation'!$A$46:$F$120,4,0),""))&amp;""</f>
        <v/>
      </c>
      <c r="F335" s="242" t="str">
        <f aca="false">IFERROR(VLOOKUP($B335,'Institution Evaluation'!$A$55:$F$346,6,0),IFERROR(VLOOKUP($B335,'Privacy Analyst Evaluation'!$A$46:$F$120,6,0),""))&amp;""</f>
        <v/>
      </c>
      <c r="G335" s="243"/>
      <c r="H335" s="242" t="str">
        <f aca="false">IFERROR(IF($H334+1&gt;'(backend scoring)'!$Q$335,"",$H334+1),"")</f>
        <v/>
      </c>
      <c r="I335" s="242" t="str">
        <f aca="false">_xlfn.XLOOKUP($H335,'(backend scoring)'!$S$2:$S$333,'(backend scoring)'!$A$2:$A$333,"")</f>
        <v/>
      </c>
      <c r="J335" s="242" t="str">
        <f aca="false">IFERROR(VLOOKUP($I335,'Institution Evaluation'!$A$55:$F$346,2,0),IFERROR(VLOOKUP($I335,'Privacy Analyst Evaluation'!$A$46:$F$120,2,0),""))</f>
        <v/>
      </c>
      <c r="K335" s="242" t="str">
        <f aca="false">IFERROR(VLOOKUP($I335,'Institution Evaluation'!$A$55:$F$346,3,0),IFERROR(VLOOKUP($I335,'Privacy Analyst Evaluation'!$A$46:$F$120,3,0),""))&amp;""</f>
        <v/>
      </c>
      <c r="L335" s="242" t="str">
        <f aca="false">IFERROR(VLOOKUP($I335,'Institution Evaluation'!$A$55:$F$346,4,0),IFERROR(VLOOKUP($I335,'Privacy Analyst Evaluation'!$A$46:$F$120,4,0),""))&amp;""</f>
        <v/>
      </c>
      <c r="M335" s="242" t="str">
        <f aca="false">IFERROR(VLOOKUP($I335,'Institution Evaluation'!$A$55:$F$346,6,0),IFERROR(VLOOKUP($I335,'Privacy Analyst Evaluation'!$A$46:$F$120,6,0),""))&amp;""</f>
        <v/>
      </c>
    </row>
    <row r="336" customFormat="false" ht="15" hidden="false" customHeight="false" outlineLevel="0" collapsed="false">
      <c r="A336" s="242" t="str">
        <f aca="false">IFERROR(IF($A335+1&gt;'(backend scoring)'!$T$335,"",$A335+1),"")</f>
        <v/>
      </c>
      <c r="B336" s="242" t="str">
        <f aca="false">_xlfn.XLOOKUP($A336,'(backend scoring)'!$V$2:$V$333,'(backend scoring)'!$A$2:$A$333,"")</f>
        <v/>
      </c>
      <c r="C336" s="242" t="str">
        <f aca="false">IFERROR(VLOOKUP($B336,'Institution Evaluation'!$A$55:$F$346,2,0),IFERROR(VLOOKUP($B336,'Privacy Analyst Evaluation'!$A$46:$F$120,2,0),""))&amp;""</f>
        <v/>
      </c>
      <c r="D336" s="242" t="str">
        <f aca="false">IFERROR(VLOOKUP($B336,'Institution Evaluation'!$A$55:$F$346,3,0),IFERROR(VLOOKUP($B336,'Privacy Analyst Evaluation'!$A$46:$F$120,3,0),""))&amp;""</f>
        <v/>
      </c>
      <c r="E336" s="242" t="str">
        <f aca="false">IFERROR(VLOOKUP($B336,'Institution Evaluation'!$A$55:$F$346,4,0),IFERROR(VLOOKUP($B336,'Privacy Analyst Evaluation'!$A$46:$F$120,4,0),""))&amp;""</f>
        <v/>
      </c>
      <c r="F336" s="242" t="str">
        <f aca="false">IFERROR(VLOOKUP($B336,'Institution Evaluation'!$A$55:$F$346,6,0),IFERROR(VLOOKUP($B336,'Privacy Analyst Evaluation'!$A$46:$F$120,6,0),""))&amp;""</f>
        <v/>
      </c>
      <c r="G336" s="243"/>
      <c r="H336" s="242" t="str">
        <f aca="false">IFERROR(IF($H335+1&gt;'(backend scoring)'!$Q$335,"",$H335+1),"")</f>
        <v/>
      </c>
      <c r="I336" s="242" t="str">
        <f aca="false">_xlfn.XLOOKUP($H336,'(backend scoring)'!$S$2:$S$333,'(backend scoring)'!$A$2:$A$333,"")</f>
        <v/>
      </c>
      <c r="J336" s="242" t="str">
        <f aca="false">IFERROR(VLOOKUP($I336,'Institution Evaluation'!$A$55:$F$346,2,0),IFERROR(VLOOKUP($I336,'Privacy Analyst Evaluation'!$A$46:$F$120,2,0),""))</f>
        <v/>
      </c>
      <c r="K336" s="242" t="str">
        <f aca="false">IFERROR(VLOOKUP($I336,'Institution Evaluation'!$A$55:$F$346,3,0),IFERROR(VLOOKUP($I336,'Privacy Analyst Evaluation'!$A$46:$F$120,3,0),""))&amp;""</f>
        <v/>
      </c>
      <c r="L336" s="242" t="str">
        <f aca="false">IFERROR(VLOOKUP($I336,'Institution Evaluation'!$A$55:$F$346,4,0),IFERROR(VLOOKUP($I336,'Privacy Analyst Evaluation'!$A$46:$F$120,4,0),""))&amp;""</f>
        <v/>
      </c>
      <c r="M336" s="242" t="str">
        <f aca="false">IFERROR(VLOOKUP($I336,'Institution Evaluation'!$A$55:$F$346,6,0),IFERROR(VLOOKUP($I336,'Privacy Analyst Evaluation'!$A$46:$F$120,6,0),""))&amp;""</f>
        <v/>
      </c>
    </row>
    <row r="337" customFormat="false" ht="15" hidden="false" customHeight="false" outlineLevel="0" collapsed="false">
      <c r="A337" s="242" t="str">
        <f aca="false">IFERROR(IF($A336+1&gt;'(backend scoring)'!$T$335,"",$A336+1),"")</f>
        <v/>
      </c>
      <c r="B337" s="242" t="str">
        <f aca="false">_xlfn.XLOOKUP($A337,'(backend scoring)'!$V$2:$V$333,'(backend scoring)'!$A$2:$A$333,"")</f>
        <v/>
      </c>
      <c r="C337" s="242" t="str">
        <f aca="false">IFERROR(VLOOKUP($B337,'Institution Evaluation'!$A$55:$F$346,2,0),IFERROR(VLOOKUP($B337,'Privacy Analyst Evaluation'!$A$46:$F$120,2,0),""))&amp;""</f>
        <v/>
      </c>
      <c r="D337" s="242" t="str">
        <f aca="false">IFERROR(VLOOKUP($B337,'Institution Evaluation'!$A$55:$F$346,3,0),IFERROR(VLOOKUP($B337,'Privacy Analyst Evaluation'!$A$46:$F$120,3,0),""))&amp;""</f>
        <v/>
      </c>
      <c r="E337" s="242" t="str">
        <f aca="false">IFERROR(VLOOKUP($B337,'Institution Evaluation'!$A$55:$F$346,4,0),IFERROR(VLOOKUP($B337,'Privacy Analyst Evaluation'!$A$46:$F$120,4,0),""))&amp;""</f>
        <v/>
      </c>
      <c r="F337" s="242" t="str">
        <f aca="false">IFERROR(VLOOKUP($B337,'Institution Evaluation'!$A$55:$F$346,6,0),IFERROR(VLOOKUP($B337,'Privacy Analyst Evaluation'!$A$46:$F$120,6,0),""))&amp;""</f>
        <v/>
      </c>
      <c r="G337" s="243"/>
      <c r="H337" s="242" t="str">
        <f aca="false">IFERROR(IF($H336+1&gt;'(backend scoring)'!$Q$335,"",$H336+1),"")</f>
        <v/>
      </c>
      <c r="I337" s="242" t="str">
        <f aca="false">_xlfn.XLOOKUP($H337,'(backend scoring)'!$S$2:$S$333,'(backend scoring)'!$A$2:$A$333,"")</f>
        <v/>
      </c>
      <c r="J337" s="242" t="str">
        <f aca="false">IFERROR(VLOOKUP($I337,'Institution Evaluation'!$A$55:$F$346,2,0),IFERROR(VLOOKUP($I337,'Privacy Analyst Evaluation'!$A$46:$F$120,2,0),""))</f>
        <v/>
      </c>
      <c r="K337" s="242" t="str">
        <f aca="false">IFERROR(VLOOKUP($I337,'Institution Evaluation'!$A$55:$F$346,3,0),IFERROR(VLOOKUP($I337,'Privacy Analyst Evaluation'!$A$46:$F$120,3,0),""))&amp;""</f>
        <v/>
      </c>
      <c r="L337" s="242" t="str">
        <f aca="false">IFERROR(VLOOKUP($I337,'Institution Evaluation'!$A$55:$F$346,4,0),IFERROR(VLOOKUP($I337,'Privacy Analyst Evaluation'!$A$46:$F$120,4,0),""))&amp;""</f>
        <v/>
      </c>
      <c r="M337" s="242" t="str">
        <f aca="false">IFERROR(VLOOKUP($I337,'Institution Evaluation'!$A$55:$F$346,6,0),IFERROR(VLOOKUP($I337,'Privacy Analyst Evaluation'!$A$46:$F$120,6,0),""))&amp;""</f>
        <v/>
      </c>
    </row>
    <row r="338" customFormat="false" ht="15" hidden="false" customHeight="false" outlineLevel="0" collapsed="false">
      <c r="A338" s="242" t="str">
        <f aca="false">IFERROR(IF($A337+1&gt;'(backend scoring)'!$T$335,"",$A337+1),"")</f>
        <v/>
      </c>
      <c r="B338" s="242" t="str">
        <f aca="false">_xlfn.XLOOKUP($A338,'(backend scoring)'!$V$2:$V$333,'(backend scoring)'!$A$2:$A$333,"")</f>
        <v/>
      </c>
      <c r="C338" s="242" t="str">
        <f aca="false">IFERROR(VLOOKUP($B338,'Institution Evaluation'!$A$55:$F$346,2,0),IFERROR(VLOOKUP($B338,'Privacy Analyst Evaluation'!$A$46:$F$120,2,0),""))&amp;""</f>
        <v/>
      </c>
      <c r="D338" s="242" t="str">
        <f aca="false">IFERROR(VLOOKUP($B338,'Institution Evaluation'!$A$55:$F$346,3,0),IFERROR(VLOOKUP($B338,'Privacy Analyst Evaluation'!$A$46:$F$120,3,0),""))&amp;""</f>
        <v/>
      </c>
      <c r="E338" s="242" t="str">
        <f aca="false">IFERROR(VLOOKUP($B338,'Institution Evaluation'!$A$55:$F$346,4,0),IFERROR(VLOOKUP($B338,'Privacy Analyst Evaluation'!$A$46:$F$120,4,0),""))&amp;""</f>
        <v/>
      </c>
      <c r="F338" s="242" t="str">
        <f aca="false">IFERROR(VLOOKUP($B338,'Institution Evaluation'!$A$55:$F$346,6,0),IFERROR(VLOOKUP($B338,'Privacy Analyst Evaluation'!$A$46:$F$120,6,0),""))&amp;""</f>
        <v/>
      </c>
      <c r="G338" s="243"/>
      <c r="H338" s="242" t="str">
        <f aca="false">IFERROR(IF($H337+1&gt;'(backend scoring)'!$Q$335,"",$H337+1),"")</f>
        <v/>
      </c>
      <c r="I338" s="242" t="str">
        <f aca="false">_xlfn.XLOOKUP($H338,'(backend scoring)'!$S$2:$S$333,'(backend scoring)'!$A$2:$A$333,"")</f>
        <v/>
      </c>
      <c r="J338" s="242" t="str">
        <f aca="false">IFERROR(VLOOKUP($I338,'Institution Evaluation'!$A$55:$F$346,2,0),IFERROR(VLOOKUP($I338,'Privacy Analyst Evaluation'!$A$46:$F$120,2,0),""))</f>
        <v/>
      </c>
      <c r="K338" s="242" t="str">
        <f aca="false">IFERROR(VLOOKUP($I338,'Institution Evaluation'!$A$55:$F$346,3,0),IFERROR(VLOOKUP($I338,'Privacy Analyst Evaluation'!$A$46:$F$120,3,0),""))&amp;""</f>
        <v/>
      </c>
      <c r="L338" s="242" t="str">
        <f aca="false">IFERROR(VLOOKUP($I338,'Institution Evaluation'!$A$55:$F$346,4,0),IFERROR(VLOOKUP($I338,'Privacy Analyst Evaluation'!$A$46:$F$120,4,0),""))&amp;""</f>
        <v/>
      </c>
      <c r="M338" s="242" t="str">
        <f aca="false">IFERROR(VLOOKUP($I338,'Institution Evaluation'!$A$55:$F$346,6,0),IFERROR(VLOOKUP($I338,'Privacy Analyst Evaluation'!$A$46:$F$120,6,0),""))&amp;""</f>
        <v/>
      </c>
    </row>
    <row r="339" customFormat="false" ht="15" hidden="false" customHeight="false" outlineLevel="0" collapsed="false">
      <c r="A339" s="242" t="str">
        <f aca="false">IFERROR(IF($A338+1&gt;'(backend scoring)'!$T$335,"",$A338+1),"")</f>
        <v/>
      </c>
      <c r="B339" s="242" t="str">
        <f aca="false">_xlfn.XLOOKUP($A339,'(backend scoring)'!$V$2:$V$333,'(backend scoring)'!$A$2:$A$333,"")</f>
        <v/>
      </c>
      <c r="C339" s="242" t="str">
        <f aca="false">IFERROR(VLOOKUP($B339,'Institution Evaluation'!$A$55:$F$346,2,0),IFERROR(VLOOKUP($B339,'Privacy Analyst Evaluation'!$A$46:$F$120,2,0),""))&amp;""</f>
        <v/>
      </c>
      <c r="D339" s="242" t="str">
        <f aca="false">IFERROR(VLOOKUP($B339,'Institution Evaluation'!$A$55:$F$346,3,0),IFERROR(VLOOKUP($B339,'Privacy Analyst Evaluation'!$A$46:$F$120,3,0),""))&amp;""</f>
        <v/>
      </c>
      <c r="E339" s="242" t="str">
        <f aca="false">IFERROR(VLOOKUP($B339,'Institution Evaluation'!$A$55:$F$346,4,0),IFERROR(VLOOKUP($B339,'Privacy Analyst Evaluation'!$A$46:$F$120,4,0),""))&amp;""</f>
        <v/>
      </c>
      <c r="F339" s="242" t="str">
        <f aca="false">IFERROR(VLOOKUP($B339,'Institution Evaluation'!$A$55:$F$346,6,0),IFERROR(VLOOKUP($B339,'Privacy Analyst Evaluation'!$A$46:$F$120,6,0),""))&amp;""</f>
        <v/>
      </c>
      <c r="G339" s="243"/>
      <c r="H339" s="242" t="str">
        <f aca="false">IFERROR(IF($H338+1&gt;'(backend scoring)'!$Q$335,"",$H338+1),"")</f>
        <v/>
      </c>
      <c r="I339" s="242" t="str">
        <f aca="false">_xlfn.XLOOKUP($H339,'(backend scoring)'!$S$2:$S$333,'(backend scoring)'!$A$2:$A$333,"")</f>
        <v/>
      </c>
      <c r="J339" s="242" t="str">
        <f aca="false">IFERROR(VLOOKUP($I339,'Institution Evaluation'!$A$55:$F$346,2,0),IFERROR(VLOOKUP($I339,'Privacy Analyst Evaluation'!$A$46:$F$120,2,0),""))</f>
        <v/>
      </c>
      <c r="K339" s="242" t="str">
        <f aca="false">IFERROR(VLOOKUP($I339,'Institution Evaluation'!$A$55:$F$346,3,0),IFERROR(VLOOKUP($I339,'Privacy Analyst Evaluation'!$A$46:$F$120,3,0),""))&amp;""</f>
        <v/>
      </c>
      <c r="L339" s="242" t="str">
        <f aca="false">IFERROR(VLOOKUP($I339,'Institution Evaluation'!$A$55:$F$346,4,0),IFERROR(VLOOKUP($I339,'Privacy Analyst Evaluation'!$A$46:$F$120,4,0),""))&amp;""</f>
        <v/>
      </c>
      <c r="M339" s="242" t="str">
        <f aca="false">IFERROR(VLOOKUP($I339,'Institution Evaluation'!$A$55:$F$346,6,0),IFERROR(VLOOKUP($I339,'Privacy Analyst Evaluation'!$A$46:$F$120,6,0),""))&amp;""</f>
        <v/>
      </c>
    </row>
    <row r="340" customFormat="false" ht="15" hidden="false" customHeight="false" outlineLevel="0" collapsed="false">
      <c r="A340" s="242" t="str">
        <f aca="false">IFERROR(IF($A339+1&gt;'(backend scoring)'!$T$335,"",$A339+1),"")</f>
        <v/>
      </c>
      <c r="B340" s="242" t="str">
        <f aca="false">_xlfn.XLOOKUP($A340,'(backend scoring)'!$V$2:$V$333,'(backend scoring)'!$A$2:$A$333,"")</f>
        <v/>
      </c>
      <c r="C340" s="242" t="str">
        <f aca="false">IFERROR(VLOOKUP($B340,'Institution Evaluation'!$A$55:$F$346,2,0),IFERROR(VLOOKUP($B340,'Privacy Analyst Evaluation'!$A$46:$F$120,2,0),""))&amp;""</f>
        <v/>
      </c>
      <c r="D340" s="242" t="str">
        <f aca="false">IFERROR(VLOOKUP($B340,'Institution Evaluation'!$A$55:$F$346,3,0),IFERROR(VLOOKUP($B340,'Privacy Analyst Evaluation'!$A$46:$F$120,3,0),""))&amp;""</f>
        <v/>
      </c>
      <c r="E340" s="242" t="str">
        <f aca="false">IFERROR(VLOOKUP($B340,'Institution Evaluation'!$A$55:$F$346,4,0),IFERROR(VLOOKUP($B340,'Privacy Analyst Evaluation'!$A$46:$F$120,4,0),""))&amp;""</f>
        <v/>
      </c>
      <c r="F340" s="242" t="str">
        <f aca="false">IFERROR(VLOOKUP($B340,'Institution Evaluation'!$A$55:$F$346,6,0),IFERROR(VLOOKUP($B340,'Privacy Analyst Evaluation'!$A$46:$F$120,6,0),""))&amp;""</f>
        <v/>
      </c>
      <c r="G340" s="243"/>
      <c r="H340" s="242" t="str">
        <f aca="false">IFERROR(IF($H339+1&gt;'(backend scoring)'!$Q$335,"",$H339+1),"")</f>
        <v/>
      </c>
      <c r="I340" s="242" t="str">
        <f aca="false">_xlfn.XLOOKUP($H340,'(backend scoring)'!$S$2:$S$333,'(backend scoring)'!$A$2:$A$333,"")</f>
        <v/>
      </c>
      <c r="J340" s="242" t="str">
        <f aca="false">IFERROR(VLOOKUP($I340,'Institution Evaluation'!$A$55:$F$346,2,0),IFERROR(VLOOKUP($I340,'Privacy Analyst Evaluation'!$A$46:$F$120,2,0),""))</f>
        <v/>
      </c>
      <c r="K340" s="242" t="str">
        <f aca="false">IFERROR(VLOOKUP($I340,'Institution Evaluation'!$A$55:$F$346,3,0),IFERROR(VLOOKUP($I340,'Privacy Analyst Evaluation'!$A$46:$F$120,3,0),""))&amp;""</f>
        <v/>
      </c>
      <c r="L340" s="242" t="str">
        <f aca="false">IFERROR(VLOOKUP($I340,'Institution Evaluation'!$A$55:$F$346,4,0),IFERROR(VLOOKUP($I340,'Privacy Analyst Evaluation'!$A$46:$F$120,4,0),""))&amp;""</f>
        <v/>
      </c>
      <c r="M340" s="242" t="str">
        <f aca="false">IFERROR(VLOOKUP($I340,'Institution Evaluation'!$A$55:$F$346,6,0),IFERROR(VLOOKUP($I340,'Privacy Analyst Evaluation'!$A$46:$F$120,6,0),""))&amp;""</f>
        <v/>
      </c>
    </row>
    <row r="341" customFormat="false" ht="15" hidden="false" customHeight="false" outlineLevel="0" collapsed="false">
      <c r="A341" s="242" t="str">
        <f aca="false">IFERROR(IF($A340+1&gt;'(backend scoring)'!$T$335,"",$A340+1),"")</f>
        <v/>
      </c>
      <c r="B341" s="242" t="str">
        <f aca="false">_xlfn.XLOOKUP($A341,'(backend scoring)'!$V$2:$V$333,'(backend scoring)'!$A$2:$A$333,"")</f>
        <v/>
      </c>
      <c r="C341" s="242" t="str">
        <f aca="false">IFERROR(VLOOKUP($B341,'Institution Evaluation'!$A$55:$F$346,2,0),IFERROR(VLOOKUP($B341,'Privacy Analyst Evaluation'!$A$46:$F$120,2,0),""))&amp;""</f>
        <v/>
      </c>
      <c r="D341" s="242" t="str">
        <f aca="false">IFERROR(VLOOKUP($B341,'Institution Evaluation'!$A$55:$F$346,3,0),IFERROR(VLOOKUP($B341,'Privacy Analyst Evaluation'!$A$46:$F$120,3,0),""))&amp;""</f>
        <v/>
      </c>
      <c r="E341" s="242" t="str">
        <f aca="false">IFERROR(VLOOKUP($B341,'Institution Evaluation'!$A$55:$F$346,4,0),IFERROR(VLOOKUP($B341,'Privacy Analyst Evaluation'!$A$46:$F$120,4,0),""))&amp;""</f>
        <v/>
      </c>
      <c r="F341" s="242" t="str">
        <f aca="false">IFERROR(VLOOKUP($B341,'Institution Evaluation'!$A$55:$F$346,6,0),IFERROR(VLOOKUP($B341,'Privacy Analyst Evaluation'!$A$46:$F$120,6,0),""))&amp;""</f>
        <v/>
      </c>
      <c r="G341" s="243"/>
      <c r="H341" s="242" t="str">
        <f aca="false">IFERROR(IF($H340+1&gt;'(backend scoring)'!$Q$335,"",$H340+1),"")</f>
        <v/>
      </c>
      <c r="I341" s="242" t="str">
        <f aca="false">_xlfn.XLOOKUP($H341,'(backend scoring)'!$S$2:$S$333,'(backend scoring)'!$A$2:$A$333,"")</f>
        <v/>
      </c>
      <c r="J341" s="242" t="str">
        <f aca="false">IFERROR(VLOOKUP($I341,'Institution Evaluation'!$A$55:$F$346,2,0),IFERROR(VLOOKUP($I341,'Privacy Analyst Evaluation'!$A$46:$F$120,2,0),""))</f>
        <v/>
      </c>
      <c r="K341" s="242" t="str">
        <f aca="false">IFERROR(VLOOKUP($I341,'Institution Evaluation'!$A$55:$F$346,3,0),IFERROR(VLOOKUP($I341,'Privacy Analyst Evaluation'!$A$46:$F$120,3,0),""))&amp;""</f>
        <v/>
      </c>
      <c r="L341" s="242" t="str">
        <f aca="false">IFERROR(VLOOKUP($I341,'Institution Evaluation'!$A$55:$F$346,4,0),IFERROR(VLOOKUP($I341,'Privacy Analyst Evaluation'!$A$46:$F$120,4,0),""))&amp;""</f>
        <v/>
      </c>
      <c r="M341" s="242" t="str">
        <f aca="false">IFERROR(VLOOKUP($I341,'Institution Evaluation'!$A$55:$F$346,6,0),IFERROR(VLOOKUP($I341,'Privacy Analyst Evaluation'!$A$46:$F$120,6,0),""))&amp;""</f>
        <v/>
      </c>
    </row>
    <row r="342" customFormat="false" ht="15" hidden="false" customHeight="false" outlineLevel="0" collapsed="false">
      <c r="A342" s="242" t="str">
        <f aca="false">IFERROR(IF($A341+1&gt;'(backend scoring)'!$T$335,"",$A341+1),"")</f>
        <v/>
      </c>
      <c r="B342" s="242" t="str">
        <f aca="false">_xlfn.XLOOKUP($A342,'(backend scoring)'!$V$2:$V$333,'(backend scoring)'!$A$2:$A$333,"")</f>
        <v/>
      </c>
      <c r="C342" s="242" t="str">
        <f aca="false">IFERROR(VLOOKUP($B342,'Institution Evaluation'!$A$55:$F$346,2,0),IFERROR(VLOOKUP($B342,'Privacy Analyst Evaluation'!$A$46:$F$120,2,0),""))&amp;""</f>
        <v/>
      </c>
      <c r="D342" s="242" t="str">
        <f aca="false">IFERROR(VLOOKUP($B342,'Institution Evaluation'!$A$55:$F$346,3,0),IFERROR(VLOOKUP($B342,'Privacy Analyst Evaluation'!$A$46:$F$120,3,0),""))&amp;""</f>
        <v/>
      </c>
      <c r="E342" s="242" t="str">
        <f aca="false">IFERROR(VLOOKUP($B342,'Institution Evaluation'!$A$55:$F$346,4,0),IFERROR(VLOOKUP($B342,'Privacy Analyst Evaluation'!$A$46:$F$120,4,0),""))&amp;""</f>
        <v/>
      </c>
      <c r="F342" s="242" t="str">
        <f aca="false">IFERROR(VLOOKUP($B342,'Institution Evaluation'!$A$55:$F$346,6,0),IFERROR(VLOOKUP($B342,'Privacy Analyst Evaluation'!$A$46:$F$120,6,0),""))&amp;""</f>
        <v/>
      </c>
      <c r="G342" s="243"/>
      <c r="H342" s="242" t="str">
        <f aca="false">IFERROR(IF($H341+1&gt;'(backend scoring)'!$Q$335,"",$H341+1),"")</f>
        <v/>
      </c>
      <c r="I342" s="242" t="str">
        <f aca="false">_xlfn.XLOOKUP($H342,'(backend scoring)'!$S$2:$S$333,'(backend scoring)'!$A$2:$A$333,"")</f>
        <v/>
      </c>
      <c r="J342" s="242" t="str">
        <f aca="false">IFERROR(VLOOKUP($I342,'Institution Evaluation'!$A$55:$F$346,2,0),IFERROR(VLOOKUP($I342,'Privacy Analyst Evaluation'!$A$46:$F$120,2,0),""))</f>
        <v/>
      </c>
      <c r="K342" s="242" t="str">
        <f aca="false">IFERROR(VLOOKUP($I342,'Institution Evaluation'!$A$55:$F$346,3,0),IFERROR(VLOOKUP($I342,'Privacy Analyst Evaluation'!$A$46:$F$120,3,0),""))&amp;""</f>
        <v/>
      </c>
      <c r="L342" s="242" t="str">
        <f aca="false">IFERROR(VLOOKUP($I342,'Institution Evaluation'!$A$55:$F$346,4,0),IFERROR(VLOOKUP($I342,'Privacy Analyst Evaluation'!$A$46:$F$120,4,0),""))&amp;""</f>
        <v/>
      </c>
      <c r="M342" s="242" t="str">
        <f aca="false">IFERROR(VLOOKUP($I342,'Institution Evaluation'!$A$55:$F$346,6,0),IFERROR(VLOOKUP($I342,'Privacy Analyst Evaluation'!$A$46:$F$120,6,0),""))&amp;""</f>
        <v/>
      </c>
    </row>
    <row r="343" customFormat="false" ht="15" hidden="false" customHeight="false" outlineLevel="0" collapsed="false">
      <c r="A343" s="242" t="str">
        <f aca="false">IFERROR(IF($A342+1&gt;'(backend scoring)'!$T$335,"",$A342+1),"")</f>
        <v/>
      </c>
      <c r="B343" s="242" t="str">
        <f aca="false">_xlfn.XLOOKUP($A343,'(backend scoring)'!$V$2:$V$333,'(backend scoring)'!$A$2:$A$333,"")</f>
        <v/>
      </c>
      <c r="C343" s="242" t="str">
        <f aca="false">IFERROR(VLOOKUP($B343,'Institution Evaluation'!$A$55:$F$346,2,0),IFERROR(VLOOKUP($B343,'Privacy Analyst Evaluation'!$A$46:$F$120,2,0),""))&amp;""</f>
        <v/>
      </c>
      <c r="D343" s="242" t="str">
        <f aca="false">IFERROR(VLOOKUP($B343,'Institution Evaluation'!$A$55:$F$346,3,0),IFERROR(VLOOKUP($B343,'Privacy Analyst Evaluation'!$A$46:$F$120,3,0),""))&amp;""</f>
        <v/>
      </c>
      <c r="E343" s="242" t="str">
        <f aca="false">IFERROR(VLOOKUP($B343,'Institution Evaluation'!$A$55:$F$346,4,0),IFERROR(VLOOKUP($B343,'Privacy Analyst Evaluation'!$A$46:$F$120,4,0),""))&amp;""</f>
        <v/>
      </c>
      <c r="F343" s="242" t="str">
        <f aca="false">IFERROR(VLOOKUP($B343,'Institution Evaluation'!$A$55:$F$346,6,0),IFERROR(VLOOKUP($B343,'Privacy Analyst Evaluation'!$A$46:$F$120,6,0),""))&amp;""</f>
        <v/>
      </c>
      <c r="G343" s="243"/>
      <c r="H343" s="242" t="str">
        <f aca="false">IFERROR(IF($H342+1&gt;'(backend scoring)'!$Q$335,"",$H342+1),"")</f>
        <v/>
      </c>
      <c r="I343" s="242" t="str">
        <f aca="false">_xlfn.XLOOKUP($H343,'(backend scoring)'!$S$2:$S$333,'(backend scoring)'!$A$2:$A$333,"")</f>
        <v/>
      </c>
      <c r="J343" s="242" t="str">
        <f aca="false">IFERROR(VLOOKUP($I343,'Institution Evaluation'!$A$55:$F$346,2,0),IFERROR(VLOOKUP($I343,'Privacy Analyst Evaluation'!$A$46:$F$120,2,0),""))</f>
        <v/>
      </c>
      <c r="K343" s="242" t="str">
        <f aca="false">IFERROR(VLOOKUP($I343,'Institution Evaluation'!$A$55:$F$346,3,0),IFERROR(VLOOKUP($I343,'Privacy Analyst Evaluation'!$A$46:$F$120,3,0),""))&amp;""</f>
        <v/>
      </c>
      <c r="L343" s="242" t="str">
        <f aca="false">IFERROR(VLOOKUP($I343,'Institution Evaluation'!$A$55:$F$346,4,0),IFERROR(VLOOKUP($I343,'Privacy Analyst Evaluation'!$A$46:$F$120,4,0),""))&amp;""</f>
        <v/>
      </c>
      <c r="M343" s="242" t="str">
        <f aca="false">IFERROR(VLOOKUP($I343,'Institution Evaluation'!$A$55:$F$346,6,0),IFERROR(VLOOKUP($I343,'Privacy Analyst Evaluation'!$A$46:$F$120,6,0),""))&amp;""</f>
        <v/>
      </c>
    </row>
    <row r="344" customFormat="false" ht="15" hidden="false" customHeight="false" outlineLevel="0" collapsed="false">
      <c r="A344" s="242" t="str">
        <f aca="false">IFERROR(IF($A343+1&gt;'(backend scoring)'!$T$335,"",$A343+1),"")</f>
        <v/>
      </c>
      <c r="B344" s="242" t="str">
        <f aca="false">_xlfn.XLOOKUP($A344,'(backend scoring)'!$V$2:$V$333,'(backend scoring)'!$A$2:$A$333,"")</f>
        <v/>
      </c>
      <c r="C344" s="242" t="str">
        <f aca="false">IFERROR(VLOOKUP($B344,'Institution Evaluation'!$A$55:$F$346,2,0),IFERROR(VLOOKUP($B344,'Privacy Analyst Evaluation'!$A$46:$F$120,2,0),""))&amp;""</f>
        <v/>
      </c>
      <c r="D344" s="242" t="str">
        <f aca="false">IFERROR(VLOOKUP($B344,'Institution Evaluation'!$A$55:$F$346,3,0),IFERROR(VLOOKUP($B344,'Privacy Analyst Evaluation'!$A$46:$F$120,3,0),""))&amp;""</f>
        <v/>
      </c>
      <c r="E344" s="242" t="str">
        <f aca="false">IFERROR(VLOOKUP($B344,'Institution Evaluation'!$A$55:$F$346,4,0),IFERROR(VLOOKUP($B344,'Privacy Analyst Evaluation'!$A$46:$F$120,4,0),""))&amp;""</f>
        <v/>
      </c>
      <c r="F344" s="242" t="str">
        <f aca="false">IFERROR(VLOOKUP($B344,'Institution Evaluation'!$A$55:$F$346,6,0),IFERROR(VLOOKUP($B344,'Privacy Analyst Evaluation'!$A$46:$F$120,6,0),""))&amp;""</f>
        <v/>
      </c>
      <c r="G344" s="243"/>
      <c r="H344" s="242" t="str">
        <f aca="false">IFERROR(IF($H343+1&gt;'(backend scoring)'!$Q$335,"",$H343+1),"")</f>
        <v/>
      </c>
      <c r="I344" s="242" t="str">
        <f aca="false">_xlfn.XLOOKUP($H344,'(backend scoring)'!$S$2:$S$333,'(backend scoring)'!$A$2:$A$333,"")</f>
        <v/>
      </c>
      <c r="J344" s="242" t="str">
        <f aca="false">IFERROR(VLOOKUP($I344,'Institution Evaluation'!$A$55:$F$346,2,0),IFERROR(VLOOKUP($I344,'Privacy Analyst Evaluation'!$A$46:$F$120,2,0),""))</f>
        <v/>
      </c>
      <c r="K344" s="242" t="str">
        <f aca="false">IFERROR(VLOOKUP($I344,'Institution Evaluation'!$A$55:$F$346,3,0),IFERROR(VLOOKUP($I344,'Privacy Analyst Evaluation'!$A$46:$F$120,3,0),""))&amp;""</f>
        <v/>
      </c>
      <c r="L344" s="242" t="str">
        <f aca="false">IFERROR(VLOOKUP($I344,'Institution Evaluation'!$A$55:$F$346,4,0),IFERROR(VLOOKUP($I344,'Privacy Analyst Evaluation'!$A$46:$F$120,4,0),""))&amp;""</f>
        <v/>
      </c>
      <c r="M344" s="242" t="str">
        <f aca="false">IFERROR(VLOOKUP($I344,'Institution Evaluation'!$A$55:$F$346,6,0),IFERROR(VLOOKUP($I344,'Privacy Analyst Evaluation'!$A$46:$F$120,6,0),""))&amp;""</f>
        <v/>
      </c>
    </row>
    <row r="345" customFormat="false" ht="15" hidden="false" customHeight="false" outlineLevel="0" collapsed="false">
      <c r="A345" s="242" t="str">
        <f aca="false">IFERROR(IF($A344+1&gt;'(backend scoring)'!$T$335,"",$A344+1),"")</f>
        <v/>
      </c>
      <c r="B345" s="242" t="str">
        <f aca="false">_xlfn.XLOOKUP($A345,'(backend scoring)'!$V$2:$V$333,'(backend scoring)'!$A$2:$A$333,"")</f>
        <v/>
      </c>
      <c r="C345" s="242" t="str">
        <f aca="false">IFERROR(VLOOKUP($B345,'Institution Evaluation'!$A$55:$F$346,2,0),IFERROR(VLOOKUP($B345,'Privacy Analyst Evaluation'!$A$46:$F$120,2,0),""))&amp;""</f>
        <v/>
      </c>
      <c r="D345" s="242" t="str">
        <f aca="false">IFERROR(VLOOKUP($B345,'Institution Evaluation'!$A$55:$F$346,3,0),IFERROR(VLOOKUP($B345,'Privacy Analyst Evaluation'!$A$46:$F$120,3,0),""))&amp;""</f>
        <v/>
      </c>
      <c r="E345" s="242" t="str">
        <f aca="false">IFERROR(VLOOKUP($B345,'Institution Evaluation'!$A$55:$F$346,4,0),IFERROR(VLOOKUP($B345,'Privacy Analyst Evaluation'!$A$46:$F$120,4,0),""))&amp;""</f>
        <v/>
      </c>
      <c r="F345" s="242" t="str">
        <f aca="false">IFERROR(VLOOKUP($B345,'Institution Evaluation'!$A$55:$F$346,6,0),IFERROR(VLOOKUP($B345,'Privacy Analyst Evaluation'!$A$46:$F$120,6,0),""))&amp;""</f>
        <v/>
      </c>
      <c r="G345" s="243"/>
      <c r="H345" s="242" t="str">
        <f aca="false">IFERROR(IF($H344+1&gt;'(backend scoring)'!$Q$335,"",$H344+1),"")</f>
        <v/>
      </c>
      <c r="I345" s="242" t="str">
        <f aca="false">_xlfn.XLOOKUP($H345,'(backend scoring)'!$S$2:$S$333,'(backend scoring)'!$A$2:$A$333,"")</f>
        <v/>
      </c>
      <c r="J345" s="242" t="str">
        <f aca="false">IFERROR(VLOOKUP($I345,'Institution Evaluation'!$A$55:$F$346,2,0),IFERROR(VLOOKUP($I345,'Privacy Analyst Evaluation'!$A$46:$F$120,2,0),""))</f>
        <v/>
      </c>
      <c r="K345" s="242" t="str">
        <f aca="false">IFERROR(VLOOKUP($I345,'Institution Evaluation'!$A$55:$F$346,3,0),IFERROR(VLOOKUP($I345,'Privacy Analyst Evaluation'!$A$46:$F$120,3,0),""))&amp;""</f>
        <v/>
      </c>
      <c r="L345" s="242" t="str">
        <f aca="false">IFERROR(VLOOKUP($I345,'Institution Evaluation'!$A$55:$F$346,4,0),IFERROR(VLOOKUP($I345,'Privacy Analyst Evaluation'!$A$46:$F$120,4,0),""))&amp;""</f>
        <v/>
      </c>
      <c r="M345" s="242" t="str">
        <f aca="false">IFERROR(VLOOKUP($I345,'Institution Evaluation'!$A$55:$F$346,6,0),IFERROR(VLOOKUP($I345,'Privacy Analyst Evaluation'!$A$46:$F$120,6,0),""))&amp;""</f>
        <v/>
      </c>
    </row>
    <row r="346" customFormat="false" ht="15" hidden="false" customHeight="false" outlineLevel="0" collapsed="false">
      <c r="A346" s="242" t="str">
        <f aca="false">IFERROR(IF($A345+1&gt;'(backend scoring)'!$T$335,"",$A345+1),"")</f>
        <v/>
      </c>
      <c r="B346" s="242" t="str">
        <f aca="false">_xlfn.XLOOKUP($A346,'(backend scoring)'!$V$2:$V$333,'(backend scoring)'!$A$2:$A$333,"")</f>
        <v/>
      </c>
      <c r="C346" s="242" t="str">
        <f aca="false">IFERROR(VLOOKUP($B346,'Institution Evaluation'!$A$55:$F$346,2,0),IFERROR(VLOOKUP($B346,'Privacy Analyst Evaluation'!$A$46:$F$120,2,0),""))&amp;""</f>
        <v/>
      </c>
      <c r="D346" s="242" t="str">
        <f aca="false">IFERROR(VLOOKUP($B346,'Institution Evaluation'!$A$55:$F$346,3,0),IFERROR(VLOOKUP($B346,'Privacy Analyst Evaluation'!$A$46:$F$120,3,0),""))&amp;""</f>
        <v/>
      </c>
      <c r="E346" s="242" t="str">
        <f aca="false">IFERROR(VLOOKUP($B346,'Institution Evaluation'!$A$55:$F$346,4,0),IFERROR(VLOOKUP($B346,'Privacy Analyst Evaluation'!$A$46:$F$120,4,0),""))&amp;""</f>
        <v/>
      </c>
      <c r="F346" s="242" t="str">
        <f aca="false">IFERROR(VLOOKUP($B346,'Institution Evaluation'!$A$55:$F$346,6,0),IFERROR(VLOOKUP($B346,'Privacy Analyst Evaluation'!$A$46:$F$120,6,0),""))&amp;""</f>
        <v/>
      </c>
      <c r="G346" s="243"/>
      <c r="H346" s="242" t="str">
        <f aca="false">IFERROR(IF($H345+1&gt;'(backend scoring)'!$Q$335,"",$H345+1),"")</f>
        <v/>
      </c>
      <c r="I346" s="242" t="str">
        <f aca="false">_xlfn.XLOOKUP($H346,'(backend scoring)'!$S$2:$S$333,'(backend scoring)'!$A$2:$A$333,"")</f>
        <v/>
      </c>
      <c r="J346" s="242" t="str">
        <f aca="false">IFERROR(VLOOKUP($I346,'Institution Evaluation'!$A$55:$F$346,2,0),IFERROR(VLOOKUP($I346,'Privacy Analyst Evaluation'!$A$46:$F$120,2,0),""))</f>
        <v/>
      </c>
      <c r="K346" s="242" t="str">
        <f aca="false">IFERROR(VLOOKUP($I346,'Institution Evaluation'!$A$55:$F$346,3,0),IFERROR(VLOOKUP($I346,'Privacy Analyst Evaluation'!$A$46:$F$120,3,0),""))&amp;""</f>
        <v/>
      </c>
      <c r="L346" s="242" t="str">
        <f aca="false">IFERROR(VLOOKUP($I346,'Institution Evaluation'!$A$55:$F$346,4,0),IFERROR(VLOOKUP($I346,'Privacy Analyst Evaluation'!$A$46:$F$120,4,0),""))&amp;""</f>
        <v/>
      </c>
      <c r="M346" s="242" t="str">
        <f aca="false">IFERROR(VLOOKUP($I346,'Institution Evaluation'!$A$55:$F$346,6,0),IFERROR(VLOOKUP($I346,'Privacy Analyst Evaluation'!$A$46:$F$120,6,0),""))&amp;""</f>
        <v/>
      </c>
    </row>
    <row r="347" customFormat="false" ht="15" hidden="false" customHeight="false" outlineLevel="0" collapsed="false">
      <c r="A347" s="242" t="str">
        <f aca="false">IFERROR(IF($A346+1&gt;'(backend scoring)'!$T$335,"",$A346+1),"")</f>
        <v/>
      </c>
      <c r="B347" s="242" t="str">
        <f aca="false">_xlfn.XLOOKUP($A347,'(backend scoring)'!$V$2:$V$333,'(backend scoring)'!$A$2:$A$333,"")</f>
        <v/>
      </c>
      <c r="C347" s="242" t="str">
        <f aca="false">IFERROR(VLOOKUP($B347,'Institution Evaluation'!$A$55:$F$346,2,0),IFERROR(VLOOKUP($B347,'Privacy Analyst Evaluation'!$A$46:$F$120,2,0),""))&amp;""</f>
        <v/>
      </c>
      <c r="D347" s="242" t="str">
        <f aca="false">IFERROR(VLOOKUP($B347,'Institution Evaluation'!$A$55:$F$346,3,0),IFERROR(VLOOKUP($B347,'Privacy Analyst Evaluation'!$A$46:$F$120,3,0),""))&amp;""</f>
        <v/>
      </c>
      <c r="E347" s="242" t="str">
        <f aca="false">IFERROR(VLOOKUP($B347,'Institution Evaluation'!$A$55:$F$346,4,0),IFERROR(VLOOKUP($B347,'Privacy Analyst Evaluation'!$A$46:$F$120,4,0),""))&amp;""</f>
        <v/>
      </c>
      <c r="F347" s="242" t="str">
        <f aca="false">IFERROR(VLOOKUP($B347,'Institution Evaluation'!$A$55:$F$346,6,0),IFERROR(VLOOKUP($B347,'Privacy Analyst Evaluation'!$A$46:$F$120,6,0),""))&amp;""</f>
        <v/>
      </c>
      <c r="G347" s="243"/>
      <c r="H347" s="242" t="str">
        <f aca="false">IFERROR(IF($H346+1&gt;'(backend scoring)'!$Q$335,"",$H346+1),"")</f>
        <v/>
      </c>
      <c r="I347" s="242" t="str">
        <f aca="false">_xlfn.XLOOKUP($H347,'(backend scoring)'!$S$2:$S$333,'(backend scoring)'!$A$2:$A$333,"")</f>
        <v/>
      </c>
      <c r="J347" s="242" t="str">
        <f aca="false">IFERROR(VLOOKUP($I347,'Institution Evaluation'!$A$55:$F$346,2,0),IFERROR(VLOOKUP($I347,'Privacy Analyst Evaluation'!$A$46:$F$120,2,0),""))</f>
        <v/>
      </c>
      <c r="K347" s="242" t="str">
        <f aca="false">IFERROR(VLOOKUP($I347,'Institution Evaluation'!$A$55:$F$346,3,0),IFERROR(VLOOKUP($I347,'Privacy Analyst Evaluation'!$A$46:$F$120,3,0),""))&amp;""</f>
        <v/>
      </c>
      <c r="L347" s="242" t="str">
        <f aca="false">IFERROR(VLOOKUP($I347,'Institution Evaluation'!$A$55:$F$346,4,0),IFERROR(VLOOKUP($I347,'Privacy Analyst Evaluation'!$A$46:$F$120,4,0),""))&amp;""</f>
        <v/>
      </c>
      <c r="M347" s="242" t="str">
        <f aca="false">IFERROR(VLOOKUP($I347,'Institution Evaluation'!$A$55:$F$346,6,0),IFERROR(VLOOKUP($I347,'Privacy Analyst Evaluation'!$A$46:$F$120,6,0),""))&amp;""</f>
        <v/>
      </c>
    </row>
    <row r="348" customFormat="false" ht="15" hidden="false" customHeight="false" outlineLevel="0" collapsed="false">
      <c r="A348" s="242" t="str">
        <f aca="false">IFERROR(IF($A347+1&gt;'(backend scoring)'!$T$335,"",$A347+1),"")</f>
        <v/>
      </c>
      <c r="B348" s="242" t="str">
        <f aca="false">_xlfn.XLOOKUP($A348,'(backend scoring)'!$V$2:$V$333,'(backend scoring)'!$A$2:$A$333,"")</f>
        <v/>
      </c>
      <c r="C348" s="242" t="str">
        <f aca="false">IFERROR(VLOOKUP($B348,'Institution Evaluation'!$A$55:$F$346,2,0),IFERROR(VLOOKUP($B348,'Privacy Analyst Evaluation'!$A$46:$F$120,2,0),""))&amp;""</f>
        <v/>
      </c>
      <c r="D348" s="242" t="str">
        <f aca="false">IFERROR(VLOOKUP($B348,'Institution Evaluation'!$A$55:$F$346,3,0),IFERROR(VLOOKUP($B348,'Privacy Analyst Evaluation'!$A$46:$F$120,3,0),""))&amp;""</f>
        <v/>
      </c>
      <c r="E348" s="242" t="str">
        <f aca="false">IFERROR(VLOOKUP($B348,'Institution Evaluation'!$A$55:$F$346,4,0),IFERROR(VLOOKUP($B348,'Privacy Analyst Evaluation'!$A$46:$F$120,4,0),""))&amp;""</f>
        <v/>
      </c>
      <c r="F348" s="242" t="str">
        <f aca="false">IFERROR(VLOOKUP($B348,'Institution Evaluation'!$A$55:$F$346,6,0),IFERROR(VLOOKUP($B348,'Privacy Analyst Evaluation'!$A$46:$F$120,6,0),""))&amp;""</f>
        <v/>
      </c>
      <c r="G348" s="243"/>
      <c r="H348" s="242" t="str">
        <f aca="false">IFERROR(IF($H347+1&gt;'(backend scoring)'!$Q$335,"",$H347+1),"")</f>
        <v/>
      </c>
      <c r="I348" s="242" t="str">
        <f aca="false">_xlfn.XLOOKUP($H348,'(backend scoring)'!$S$2:$S$333,'(backend scoring)'!$A$2:$A$333,"")</f>
        <v/>
      </c>
      <c r="J348" s="242" t="str">
        <f aca="false">IFERROR(VLOOKUP($I348,'Institution Evaluation'!$A$55:$F$346,2,0),IFERROR(VLOOKUP($I348,'Privacy Analyst Evaluation'!$A$46:$F$120,2,0),""))</f>
        <v/>
      </c>
      <c r="K348" s="242" t="str">
        <f aca="false">IFERROR(VLOOKUP($I348,'Institution Evaluation'!$A$55:$F$346,3,0),IFERROR(VLOOKUP($I348,'Privacy Analyst Evaluation'!$A$46:$F$120,3,0),""))&amp;""</f>
        <v/>
      </c>
      <c r="L348" s="242" t="str">
        <f aca="false">IFERROR(VLOOKUP($I348,'Institution Evaluation'!$A$55:$F$346,4,0),IFERROR(VLOOKUP($I348,'Privacy Analyst Evaluation'!$A$46:$F$120,4,0),""))&amp;""</f>
        <v/>
      </c>
      <c r="M348" s="242" t="str">
        <f aca="false">IFERROR(VLOOKUP($I348,'Institution Evaluation'!$A$55:$F$346,6,0),IFERROR(VLOOKUP($I348,'Privacy Analyst Evaluation'!$A$46:$F$120,6,0),""))&amp;""</f>
        <v/>
      </c>
    </row>
    <row r="349" customFormat="false" ht="15" hidden="false" customHeight="false" outlineLevel="0" collapsed="false">
      <c r="A349" s="242" t="str">
        <f aca="false">IFERROR(IF($A348+1&gt;'(backend scoring)'!$T$335,"",$A348+1),"")</f>
        <v/>
      </c>
      <c r="B349" s="242" t="str">
        <f aca="false">_xlfn.XLOOKUP($A349,'(backend scoring)'!$V$2:$V$333,'(backend scoring)'!$A$2:$A$333,"")</f>
        <v/>
      </c>
      <c r="C349" s="242" t="str">
        <f aca="false">IFERROR(VLOOKUP($B349,'Institution Evaluation'!$A$55:$F$346,2,0),IFERROR(VLOOKUP($B349,'Privacy Analyst Evaluation'!$A$46:$F$120,2,0),""))&amp;""</f>
        <v/>
      </c>
      <c r="D349" s="242" t="str">
        <f aca="false">IFERROR(VLOOKUP($B349,'Institution Evaluation'!$A$55:$F$346,3,0),IFERROR(VLOOKUP($B349,'Privacy Analyst Evaluation'!$A$46:$F$120,3,0),""))&amp;""</f>
        <v/>
      </c>
      <c r="E349" s="242" t="str">
        <f aca="false">IFERROR(VLOOKUP($B349,'Institution Evaluation'!$A$55:$F$346,4,0),IFERROR(VLOOKUP($B349,'Privacy Analyst Evaluation'!$A$46:$F$120,4,0),""))&amp;""</f>
        <v/>
      </c>
      <c r="F349" s="242" t="str">
        <f aca="false">IFERROR(VLOOKUP($B349,'Institution Evaluation'!$A$55:$F$346,6,0),IFERROR(VLOOKUP($B349,'Privacy Analyst Evaluation'!$A$46:$F$120,6,0),""))&amp;""</f>
        <v/>
      </c>
      <c r="G349" s="243"/>
      <c r="H349" s="242" t="str">
        <f aca="false">IFERROR(IF($H348+1&gt;'(backend scoring)'!$Q$335,"",$H348+1),"")</f>
        <v/>
      </c>
      <c r="I349" s="242" t="str">
        <f aca="false">_xlfn.XLOOKUP($H349,'(backend scoring)'!$S$2:$S$333,'(backend scoring)'!$A$2:$A$333,"")</f>
        <v/>
      </c>
      <c r="J349" s="242" t="str">
        <f aca="false">IFERROR(VLOOKUP($I349,'Institution Evaluation'!$A$55:$F$346,2,0),IFERROR(VLOOKUP($I349,'Privacy Analyst Evaluation'!$A$46:$F$120,2,0),""))</f>
        <v/>
      </c>
      <c r="K349" s="242" t="str">
        <f aca="false">IFERROR(VLOOKUP($I349,'Institution Evaluation'!$A$55:$F$346,3,0),IFERROR(VLOOKUP($I349,'Privacy Analyst Evaluation'!$A$46:$F$120,3,0),""))&amp;""</f>
        <v/>
      </c>
      <c r="L349" s="242" t="str">
        <f aca="false">IFERROR(VLOOKUP($I349,'Institution Evaluation'!$A$55:$F$346,4,0),IFERROR(VLOOKUP($I349,'Privacy Analyst Evaluation'!$A$46:$F$120,4,0),""))&amp;""</f>
        <v/>
      </c>
      <c r="M349" s="242" t="str">
        <f aca="false">IFERROR(VLOOKUP($I349,'Institution Evaluation'!$A$55:$F$346,6,0),IFERROR(VLOOKUP($I349,'Privacy Analyst Evaluation'!$A$46:$F$120,6,0),""))&amp;""</f>
        <v/>
      </c>
    </row>
    <row r="350" customFormat="false" ht="15" hidden="false" customHeight="false" outlineLevel="0" collapsed="false">
      <c r="A350" s="242" t="str">
        <f aca="false">IFERROR(IF($A349+1&gt;'(backend scoring)'!$T$335,"",$A349+1),"")</f>
        <v/>
      </c>
      <c r="B350" s="242" t="str">
        <f aca="false">_xlfn.XLOOKUP($A350,'(backend scoring)'!$V$2:$V$333,'(backend scoring)'!$A$2:$A$333,"")</f>
        <v/>
      </c>
      <c r="C350" s="242" t="str">
        <f aca="false">IFERROR(VLOOKUP($B350,'Institution Evaluation'!$A$55:$F$346,2,0),IFERROR(VLOOKUP($B350,'Privacy Analyst Evaluation'!$A$46:$F$120,2,0),""))&amp;""</f>
        <v/>
      </c>
      <c r="D350" s="242" t="str">
        <f aca="false">IFERROR(VLOOKUP($B350,'Institution Evaluation'!$A$55:$F$346,3,0),IFERROR(VLOOKUP($B350,'Privacy Analyst Evaluation'!$A$46:$F$120,3,0),""))&amp;""</f>
        <v/>
      </c>
      <c r="E350" s="242" t="str">
        <f aca="false">IFERROR(VLOOKUP($B350,'Institution Evaluation'!$A$55:$F$346,4,0),IFERROR(VLOOKUP($B350,'Privacy Analyst Evaluation'!$A$46:$F$120,4,0),""))&amp;""</f>
        <v/>
      </c>
      <c r="F350" s="242" t="str">
        <f aca="false">IFERROR(VLOOKUP($B350,'Institution Evaluation'!$A$55:$F$346,6,0),IFERROR(VLOOKUP($B350,'Privacy Analyst Evaluation'!$A$46:$F$120,6,0),""))&amp;""</f>
        <v/>
      </c>
      <c r="G350" s="243"/>
      <c r="H350" s="242" t="str">
        <f aca="false">IFERROR(IF($H349+1&gt;'(backend scoring)'!$Q$335,"",$H349+1),"")</f>
        <v/>
      </c>
      <c r="I350" s="242" t="str">
        <f aca="false">_xlfn.XLOOKUP($H350,'(backend scoring)'!$S$2:$S$333,'(backend scoring)'!$A$2:$A$333,"")</f>
        <v/>
      </c>
      <c r="J350" s="242" t="str">
        <f aca="false">IFERROR(VLOOKUP($I350,'Institution Evaluation'!$A$55:$F$346,2,0),IFERROR(VLOOKUP($I350,'Privacy Analyst Evaluation'!$A$46:$F$120,2,0),""))</f>
        <v/>
      </c>
      <c r="K350" s="242" t="str">
        <f aca="false">IFERROR(VLOOKUP($I350,'Institution Evaluation'!$A$55:$F$346,3,0),IFERROR(VLOOKUP($I350,'Privacy Analyst Evaluation'!$A$46:$F$120,3,0),""))&amp;""</f>
        <v/>
      </c>
      <c r="L350" s="242" t="str">
        <f aca="false">IFERROR(VLOOKUP($I350,'Institution Evaluation'!$A$55:$F$346,4,0),IFERROR(VLOOKUP($I350,'Privacy Analyst Evaluation'!$A$46:$F$120,4,0),""))&amp;""</f>
        <v/>
      </c>
      <c r="M350" s="242" t="str">
        <f aca="false">IFERROR(VLOOKUP($I350,'Institution Evaluation'!$A$55:$F$346,6,0),IFERROR(VLOOKUP($I350,'Privacy Analyst Evaluation'!$A$46:$F$120,6,0),""))&amp;""</f>
        <v/>
      </c>
    </row>
    <row r="351" customFormat="false" ht="15" hidden="false" customHeight="false" outlineLevel="0" collapsed="false">
      <c r="A351" s="242" t="str">
        <f aca="false">IFERROR(IF($A350+1&gt;'(backend scoring)'!$T$335,"",$A350+1),"")</f>
        <v/>
      </c>
      <c r="B351" s="242" t="str">
        <f aca="false">_xlfn.XLOOKUP($A351,'(backend scoring)'!$V$2:$V$333,'(backend scoring)'!$A$2:$A$333,"")</f>
        <v/>
      </c>
      <c r="C351" s="242" t="str">
        <f aca="false">IFERROR(VLOOKUP($B351,'Institution Evaluation'!$A$55:$F$346,2,0),IFERROR(VLOOKUP($B351,'Privacy Analyst Evaluation'!$A$46:$F$120,2,0),""))&amp;""</f>
        <v/>
      </c>
      <c r="D351" s="242" t="str">
        <f aca="false">IFERROR(VLOOKUP($B351,'Institution Evaluation'!$A$55:$F$346,3,0),IFERROR(VLOOKUP($B351,'Privacy Analyst Evaluation'!$A$46:$F$120,3,0),""))&amp;""</f>
        <v/>
      </c>
      <c r="E351" s="242" t="str">
        <f aca="false">IFERROR(VLOOKUP($B351,'Institution Evaluation'!$A$55:$F$346,4,0),IFERROR(VLOOKUP($B351,'Privacy Analyst Evaluation'!$A$46:$F$120,4,0),""))&amp;""</f>
        <v/>
      </c>
      <c r="F351" s="242" t="str">
        <f aca="false">IFERROR(VLOOKUP($B351,'Institution Evaluation'!$A$55:$F$346,6,0),IFERROR(VLOOKUP($B351,'Privacy Analyst Evaluation'!$A$46:$F$120,6,0),""))&amp;""</f>
        <v/>
      </c>
      <c r="G351" s="243"/>
      <c r="H351" s="242" t="str">
        <f aca="false">IFERROR(IF($H350+1&gt;'(backend scoring)'!$Q$335,"",$H350+1),"")</f>
        <v/>
      </c>
      <c r="I351" s="242" t="str">
        <f aca="false">_xlfn.XLOOKUP($H351,'(backend scoring)'!$S$2:$S$333,'(backend scoring)'!$A$2:$A$333,"")</f>
        <v/>
      </c>
      <c r="J351" s="242" t="str">
        <f aca="false">IFERROR(VLOOKUP($I351,'Institution Evaluation'!$A$55:$F$346,2,0),IFERROR(VLOOKUP($I351,'Privacy Analyst Evaluation'!$A$46:$F$120,2,0),""))</f>
        <v/>
      </c>
      <c r="K351" s="242" t="str">
        <f aca="false">IFERROR(VLOOKUP($I351,'Institution Evaluation'!$A$55:$F$346,3,0),IFERROR(VLOOKUP($I351,'Privacy Analyst Evaluation'!$A$46:$F$120,3,0),""))&amp;""</f>
        <v/>
      </c>
      <c r="L351" s="242" t="str">
        <f aca="false">IFERROR(VLOOKUP($I351,'Institution Evaluation'!$A$55:$F$346,4,0),IFERROR(VLOOKUP($I351,'Privacy Analyst Evaluation'!$A$46:$F$120,4,0),""))&amp;""</f>
        <v/>
      </c>
      <c r="M351" s="242" t="str">
        <f aca="false">IFERROR(VLOOKUP($I351,'Institution Evaluation'!$A$55:$F$346,6,0),IFERROR(VLOOKUP($I351,'Privacy Analyst Evaluation'!$A$46:$F$120,6,0),""))&amp;""</f>
        <v/>
      </c>
    </row>
    <row r="352" customFormat="false" ht="15" hidden="false" customHeight="false" outlineLevel="0" collapsed="false">
      <c r="A352" s="242" t="str">
        <f aca="false">IFERROR(IF($A351+1&gt;'(backend scoring)'!$T$335,"",$A351+1),"")</f>
        <v/>
      </c>
      <c r="B352" s="242" t="str">
        <f aca="false">_xlfn.XLOOKUP($A352,'(backend scoring)'!$V$2:$V$333,'(backend scoring)'!$A$2:$A$333,"")</f>
        <v/>
      </c>
      <c r="C352" s="242" t="str">
        <f aca="false">IFERROR(VLOOKUP($B352,'Institution Evaluation'!$A$55:$F$346,2,0),IFERROR(VLOOKUP($B352,'Privacy Analyst Evaluation'!$A$46:$F$120,2,0),""))&amp;""</f>
        <v/>
      </c>
      <c r="D352" s="242" t="str">
        <f aca="false">IFERROR(VLOOKUP($B352,'Institution Evaluation'!$A$55:$F$346,3,0),IFERROR(VLOOKUP($B352,'Privacy Analyst Evaluation'!$A$46:$F$120,3,0),""))&amp;""</f>
        <v/>
      </c>
      <c r="E352" s="242" t="str">
        <f aca="false">IFERROR(VLOOKUP($B352,'Institution Evaluation'!$A$55:$F$346,4,0),IFERROR(VLOOKUP($B352,'Privacy Analyst Evaluation'!$A$46:$F$120,4,0),""))&amp;""</f>
        <v/>
      </c>
      <c r="F352" s="242" t="str">
        <f aca="false">IFERROR(VLOOKUP($B352,'Institution Evaluation'!$A$55:$F$346,6,0),IFERROR(VLOOKUP($B352,'Privacy Analyst Evaluation'!$A$46:$F$120,6,0),""))&amp;""</f>
        <v/>
      </c>
      <c r="G352" s="243"/>
      <c r="H352" s="242" t="str">
        <f aca="false">IFERROR(IF($H351+1&gt;'(backend scoring)'!$Q$335,"",$H351+1),"")</f>
        <v/>
      </c>
      <c r="I352" s="242" t="str">
        <f aca="false">_xlfn.XLOOKUP($H352,'(backend scoring)'!$S$2:$S$333,'(backend scoring)'!$A$2:$A$333,"")</f>
        <v/>
      </c>
      <c r="J352" s="242" t="str">
        <f aca="false">IFERROR(VLOOKUP($I352,'Institution Evaluation'!$A$55:$F$346,2,0),IFERROR(VLOOKUP($I352,'Privacy Analyst Evaluation'!$A$46:$F$120,2,0),""))</f>
        <v/>
      </c>
      <c r="K352" s="242" t="str">
        <f aca="false">IFERROR(VLOOKUP($I352,'Institution Evaluation'!$A$55:$F$346,3,0),IFERROR(VLOOKUP($I352,'Privacy Analyst Evaluation'!$A$46:$F$120,3,0),""))&amp;""</f>
        <v/>
      </c>
      <c r="L352" s="242" t="str">
        <f aca="false">IFERROR(VLOOKUP($I352,'Institution Evaluation'!$A$55:$F$346,4,0),IFERROR(VLOOKUP($I352,'Privacy Analyst Evaluation'!$A$46:$F$120,4,0),""))&amp;""</f>
        <v/>
      </c>
      <c r="M352" s="242" t="str">
        <f aca="false">IFERROR(VLOOKUP($I352,'Institution Evaluation'!$A$55:$F$346,6,0),IFERROR(VLOOKUP($I352,'Privacy Analyst Evaluation'!$A$46:$F$120,6,0),""))&amp;""</f>
        <v/>
      </c>
    </row>
    <row r="353" customFormat="false" ht="15" hidden="false" customHeight="false" outlineLevel="0" collapsed="false">
      <c r="A353" s="242" t="str">
        <f aca="false">IFERROR(IF($A352+1&gt;'(backend scoring)'!$T$335,"",$A352+1),"")</f>
        <v/>
      </c>
      <c r="B353" s="242" t="str">
        <f aca="false">_xlfn.XLOOKUP($A353,'(backend scoring)'!$V$2:$V$333,'(backend scoring)'!$A$2:$A$333,"")</f>
        <v/>
      </c>
      <c r="C353" s="242" t="str">
        <f aca="false">IFERROR(VLOOKUP($B353,'Institution Evaluation'!$A$55:$F$346,2,0),IFERROR(VLOOKUP($B353,'Privacy Analyst Evaluation'!$A$46:$F$120,2,0),""))&amp;""</f>
        <v/>
      </c>
      <c r="D353" s="242" t="str">
        <f aca="false">IFERROR(VLOOKUP($B353,'Institution Evaluation'!$A$55:$F$346,3,0),IFERROR(VLOOKUP($B353,'Privacy Analyst Evaluation'!$A$46:$F$120,3,0),""))&amp;""</f>
        <v/>
      </c>
      <c r="E353" s="242" t="str">
        <f aca="false">IFERROR(VLOOKUP($B353,'Institution Evaluation'!$A$55:$F$346,4,0),IFERROR(VLOOKUP($B353,'Privacy Analyst Evaluation'!$A$46:$F$120,4,0),""))&amp;""</f>
        <v/>
      </c>
      <c r="F353" s="242" t="str">
        <f aca="false">IFERROR(VLOOKUP($B353,'Institution Evaluation'!$A$55:$F$346,6,0),IFERROR(VLOOKUP($B353,'Privacy Analyst Evaluation'!$A$46:$F$120,6,0),""))&amp;""</f>
        <v/>
      </c>
      <c r="G353" s="243"/>
      <c r="H353" s="242" t="str">
        <f aca="false">IFERROR(IF($H352+1&gt;'(backend scoring)'!$Q$335,"",$H352+1),"")</f>
        <v/>
      </c>
      <c r="I353" s="242" t="str">
        <f aca="false">_xlfn.XLOOKUP($H353,'(backend scoring)'!$S$2:$S$333,'(backend scoring)'!$A$2:$A$333,"")</f>
        <v/>
      </c>
      <c r="J353" s="242" t="str">
        <f aca="false">IFERROR(VLOOKUP($I353,'Institution Evaluation'!$A$55:$F$346,2,0),IFERROR(VLOOKUP($I353,'Privacy Analyst Evaluation'!$A$46:$F$120,2,0),""))</f>
        <v/>
      </c>
      <c r="K353" s="242" t="str">
        <f aca="false">IFERROR(VLOOKUP($I353,'Institution Evaluation'!$A$55:$F$346,3,0),IFERROR(VLOOKUP($I353,'Privacy Analyst Evaluation'!$A$46:$F$120,3,0),""))&amp;""</f>
        <v/>
      </c>
      <c r="L353" s="242" t="str">
        <f aca="false">IFERROR(VLOOKUP($I353,'Institution Evaluation'!$A$55:$F$346,4,0),IFERROR(VLOOKUP($I353,'Privacy Analyst Evaluation'!$A$46:$F$120,4,0),""))&amp;""</f>
        <v/>
      </c>
      <c r="M353" s="242" t="str">
        <f aca="false">IFERROR(VLOOKUP($I353,'Institution Evaluation'!$A$55:$F$346,6,0),IFERROR(VLOOKUP($I353,'Privacy Analyst Evaluation'!$A$46:$F$120,6,0),""))&amp;""</f>
        <v/>
      </c>
    </row>
    <row r="354" customFormat="false" ht="15" hidden="false" customHeight="false" outlineLevel="0" collapsed="false">
      <c r="A354" s="242" t="str">
        <f aca="false">IFERROR(IF($A353+1&gt;'(backend scoring)'!$T$335,"",$A353+1),"")</f>
        <v/>
      </c>
      <c r="B354" s="242" t="str">
        <f aca="false">_xlfn.XLOOKUP($A354,'(backend scoring)'!$V$2:$V$333,'(backend scoring)'!$A$2:$A$333,"")</f>
        <v/>
      </c>
      <c r="C354" s="242" t="str">
        <f aca="false">IFERROR(VLOOKUP($B354,'Institution Evaluation'!$A$55:$F$346,2,0),IFERROR(VLOOKUP($B354,'Privacy Analyst Evaluation'!$A$46:$F$120,2,0),""))&amp;""</f>
        <v/>
      </c>
      <c r="D354" s="242" t="str">
        <f aca="false">IFERROR(VLOOKUP($B354,'Institution Evaluation'!$A$55:$F$346,3,0),IFERROR(VLOOKUP($B354,'Privacy Analyst Evaluation'!$A$46:$F$120,3,0),""))&amp;""</f>
        <v/>
      </c>
      <c r="E354" s="242" t="str">
        <f aca="false">IFERROR(VLOOKUP($B354,'Institution Evaluation'!$A$55:$F$346,4,0),IFERROR(VLOOKUP($B354,'Privacy Analyst Evaluation'!$A$46:$F$120,4,0),""))&amp;""</f>
        <v/>
      </c>
      <c r="F354" s="242" t="str">
        <f aca="false">IFERROR(VLOOKUP($B354,'Institution Evaluation'!$A$55:$F$346,6,0),IFERROR(VLOOKUP($B354,'Privacy Analyst Evaluation'!$A$46:$F$120,6,0),""))&amp;""</f>
        <v/>
      </c>
      <c r="G354" s="243"/>
      <c r="H354" s="242" t="str">
        <f aca="false">IFERROR(IF($H353+1&gt;'(backend scoring)'!$Q$335,"",$H353+1),"")</f>
        <v/>
      </c>
      <c r="I354" s="242" t="str">
        <f aca="false">_xlfn.XLOOKUP($H354,'(backend scoring)'!$S$2:$S$333,'(backend scoring)'!$A$2:$A$333,"")</f>
        <v/>
      </c>
      <c r="J354" s="242" t="str">
        <f aca="false">IFERROR(VLOOKUP($I354,'Institution Evaluation'!$A$55:$F$346,2,0),IFERROR(VLOOKUP($I354,'Privacy Analyst Evaluation'!$A$46:$F$120,2,0),""))</f>
        <v/>
      </c>
      <c r="K354" s="242" t="str">
        <f aca="false">IFERROR(VLOOKUP($I354,'Institution Evaluation'!$A$55:$F$346,3,0),IFERROR(VLOOKUP($I354,'Privacy Analyst Evaluation'!$A$46:$F$120,3,0),""))&amp;""</f>
        <v/>
      </c>
      <c r="L354" s="242" t="str">
        <f aca="false">IFERROR(VLOOKUP($I354,'Institution Evaluation'!$A$55:$F$346,4,0),IFERROR(VLOOKUP($I354,'Privacy Analyst Evaluation'!$A$46:$F$120,4,0),""))&amp;""</f>
        <v/>
      </c>
      <c r="M354" s="242" t="str">
        <f aca="false">IFERROR(VLOOKUP($I354,'Institution Evaluation'!$A$55:$F$346,6,0),IFERROR(VLOOKUP($I354,'Privacy Analyst Evaluation'!$A$46:$F$120,6,0),""))&amp;""</f>
        <v/>
      </c>
    </row>
    <row r="355" customFormat="false" ht="15" hidden="false" customHeight="false" outlineLevel="0" collapsed="false">
      <c r="A355" s="242" t="str">
        <f aca="false">IFERROR(IF($A354+1&gt;'(backend scoring)'!$T$335,"",$A354+1),"")</f>
        <v/>
      </c>
      <c r="B355" s="242" t="str">
        <f aca="false">_xlfn.XLOOKUP($A355,'(backend scoring)'!$V$2:$V$333,'(backend scoring)'!$A$2:$A$333,"")</f>
        <v/>
      </c>
      <c r="C355" s="242" t="str">
        <f aca="false">IFERROR(VLOOKUP($B355,'Institution Evaluation'!$A$55:$F$346,2,0),IFERROR(VLOOKUP($B355,'Privacy Analyst Evaluation'!$A$46:$F$120,2,0),""))&amp;""</f>
        <v/>
      </c>
      <c r="D355" s="242" t="str">
        <f aca="false">IFERROR(VLOOKUP($B355,'Institution Evaluation'!$A$55:$F$346,3,0),IFERROR(VLOOKUP($B355,'Privacy Analyst Evaluation'!$A$46:$F$120,3,0),""))&amp;""</f>
        <v/>
      </c>
      <c r="E355" s="242" t="str">
        <f aca="false">IFERROR(VLOOKUP($B355,'Institution Evaluation'!$A$55:$F$346,4,0),IFERROR(VLOOKUP($B355,'Privacy Analyst Evaluation'!$A$46:$F$120,4,0),""))&amp;""</f>
        <v/>
      </c>
      <c r="F355" s="242" t="str">
        <f aca="false">IFERROR(VLOOKUP($B355,'Institution Evaluation'!$A$55:$F$346,6,0),IFERROR(VLOOKUP($B355,'Privacy Analyst Evaluation'!$A$46:$F$120,6,0),""))&amp;""</f>
        <v/>
      </c>
      <c r="G355" s="243"/>
      <c r="H355" s="242" t="str">
        <f aca="false">IFERROR(IF($H354+1&gt;'(backend scoring)'!$Q$335,"",$H354+1),"")</f>
        <v/>
      </c>
      <c r="I355" s="242" t="str">
        <f aca="false">_xlfn.XLOOKUP($H355,'(backend scoring)'!$S$2:$S$333,'(backend scoring)'!$A$2:$A$333,"")</f>
        <v/>
      </c>
      <c r="J355" s="242" t="str">
        <f aca="false">IFERROR(VLOOKUP($I355,'Institution Evaluation'!$A$55:$F$346,2,0),IFERROR(VLOOKUP($I355,'Privacy Analyst Evaluation'!$A$46:$F$120,2,0),""))</f>
        <v/>
      </c>
      <c r="K355" s="242" t="str">
        <f aca="false">IFERROR(VLOOKUP($I355,'Institution Evaluation'!$A$55:$F$346,3,0),IFERROR(VLOOKUP($I355,'Privacy Analyst Evaluation'!$A$46:$F$120,3,0),""))&amp;""</f>
        <v/>
      </c>
      <c r="L355" s="242" t="str">
        <f aca="false">IFERROR(VLOOKUP($I355,'Institution Evaluation'!$A$55:$F$346,4,0),IFERROR(VLOOKUP($I355,'Privacy Analyst Evaluation'!$A$46:$F$120,4,0),""))&amp;""</f>
        <v/>
      </c>
      <c r="M355" s="242" t="str">
        <f aca="false">IFERROR(VLOOKUP($I355,'Institution Evaluation'!$A$55:$F$346,6,0),IFERROR(VLOOKUP($I355,'Privacy Analyst Evaluation'!$A$46:$F$120,6,0),""))&amp;""</f>
        <v/>
      </c>
    </row>
    <row r="356" customFormat="false" ht="15" hidden="false" customHeight="false" outlineLevel="0" collapsed="false">
      <c r="A356" s="242" t="str">
        <f aca="false">IFERROR(IF($A355+1&gt;'(backend scoring)'!$T$335,"",$A355+1),"")</f>
        <v/>
      </c>
      <c r="B356" s="242" t="str">
        <f aca="false">_xlfn.XLOOKUP($A356,'(backend scoring)'!$V$2:$V$333,'(backend scoring)'!$A$2:$A$333,"")</f>
        <v/>
      </c>
      <c r="C356" s="242" t="str">
        <f aca="false">IFERROR(VLOOKUP($B356,'Institution Evaluation'!$A$55:$F$346,2,0),IFERROR(VLOOKUP($B356,'Privacy Analyst Evaluation'!$A$46:$F$120,2,0),""))&amp;""</f>
        <v/>
      </c>
      <c r="D356" s="242" t="str">
        <f aca="false">IFERROR(VLOOKUP($B356,'Institution Evaluation'!$A$55:$F$346,3,0),IFERROR(VLOOKUP($B356,'Privacy Analyst Evaluation'!$A$46:$F$120,3,0),""))&amp;""</f>
        <v/>
      </c>
      <c r="E356" s="242" t="str">
        <f aca="false">IFERROR(VLOOKUP($B356,'Institution Evaluation'!$A$55:$F$346,4,0),IFERROR(VLOOKUP($B356,'Privacy Analyst Evaluation'!$A$46:$F$120,4,0),""))&amp;""</f>
        <v/>
      </c>
      <c r="F356" s="242" t="str">
        <f aca="false">IFERROR(VLOOKUP($B356,'Institution Evaluation'!$A$55:$F$346,6,0),IFERROR(VLOOKUP($B356,'Privacy Analyst Evaluation'!$A$46:$F$120,6,0),""))&amp;""</f>
        <v/>
      </c>
      <c r="G356" s="243"/>
      <c r="H356" s="242" t="str">
        <f aca="false">IFERROR(IF($H355+1&gt;'(backend scoring)'!$Q$335,"",$H355+1),"")</f>
        <v/>
      </c>
      <c r="I356" s="242" t="str">
        <f aca="false">_xlfn.XLOOKUP($H356,'(backend scoring)'!$S$2:$S$333,'(backend scoring)'!$A$2:$A$333,"")</f>
        <v/>
      </c>
      <c r="J356" s="242" t="str">
        <f aca="false">IFERROR(VLOOKUP($I356,'Institution Evaluation'!$A$55:$F$346,2,0),IFERROR(VLOOKUP($I356,'Privacy Analyst Evaluation'!$A$46:$F$120,2,0),""))</f>
        <v/>
      </c>
      <c r="K356" s="242" t="str">
        <f aca="false">IFERROR(VLOOKUP($I356,'Institution Evaluation'!$A$55:$F$346,3,0),IFERROR(VLOOKUP($I356,'Privacy Analyst Evaluation'!$A$46:$F$120,3,0),""))&amp;""</f>
        <v/>
      </c>
      <c r="L356" s="242" t="str">
        <f aca="false">IFERROR(VLOOKUP($I356,'Institution Evaluation'!$A$55:$F$346,4,0),IFERROR(VLOOKUP($I356,'Privacy Analyst Evaluation'!$A$46:$F$120,4,0),""))&amp;""</f>
        <v/>
      </c>
      <c r="M356" s="242" t="str">
        <f aca="false">IFERROR(VLOOKUP($I356,'Institution Evaluation'!$A$55:$F$346,6,0),IFERROR(VLOOKUP($I356,'Privacy Analyst Evaluation'!$A$46:$F$120,6,0),""))&amp;""</f>
        <v/>
      </c>
    </row>
    <row r="357" customFormat="false" ht="15" hidden="false" customHeight="false" outlineLevel="0" collapsed="false">
      <c r="A357" s="242" t="str">
        <f aca="false">IFERROR(IF($A356+1&gt;'(backend scoring)'!$T$335,"",$A356+1),"")</f>
        <v/>
      </c>
      <c r="B357" s="242" t="str">
        <f aca="false">_xlfn.XLOOKUP($A357,'(backend scoring)'!$V$2:$V$333,'(backend scoring)'!$A$2:$A$333,"")</f>
        <v/>
      </c>
      <c r="C357" s="242" t="str">
        <f aca="false">IFERROR(VLOOKUP($B357,'Institution Evaluation'!$A$55:$F$346,2,0),IFERROR(VLOOKUP($B357,'Privacy Analyst Evaluation'!$A$46:$F$120,2,0),""))&amp;""</f>
        <v/>
      </c>
      <c r="D357" s="242" t="str">
        <f aca="false">IFERROR(VLOOKUP($B357,'Institution Evaluation'!$A$55:$F$346,3,0),IFERROR(VLOOKUP($B357,'Privacy Analyst Evaluation'!$A$46:$F$120,3,0),""))&amp;""</f>
        <v/>
      </c>
      <c r="E357" s="242" t="str">
        <f aca="false">IFERROR(VLOOKUP($B357,'Institution Evaluation'!$A$55:$F$346,4,0),IFERROR(VLOOKUP($B357,'Privacy Analyst Evaluation'!$A$46:$F$120,4,0),""))&amp;""</f>
        <v/>
      </c>
      <c r="F357" s="242" t="str">
        <f aca="false">IFERROR(VLOOKUP($B357,'Institution Evaluation'!$A$55:$F$346,6,0),IFERROR(VLOOKUP($B357,'Privacy Analyst Evaluation'!$A$46:$F$120,6,0),""))&amp;""</f>
        <v/>
      </c>
      <c r="G357" s="243"/>
      <c r="H357" s="242" t="str">
        <f aca="false">IFERROR(IF($H356+1&gt;'(backend scoring)'!$Q$335,"",$H356+1),"")</f>
        <v/>
      </c>
      <c r="I357" s="242" t="str">
        <f aca="false">_xlfn.XLOOKUP($H357,'(backend scoring)'!$S$2:$S$333,'(backend scoring)'!$A$2:$A$333,"")</f>
        <v/>
      </c>
      <c r="J357" s="242" t="str">
        <f aca="false">IFERROR(VLOOKUP($I357,'Institution Evaluation'!$A$55:$F$346,2,0),IFERROR(VLOOKUP($I357,'Privacy Analyst Evaluation'!$A$46:$F$120,2,0),""))</f>
        <v/>
      </c>
      <c r="K357" s="242" t="str">
        <f aca="false">IFERROR(VLOOKUP($I357,'Institution Evaluation'!$A$55:$F$346,3,0),IFERROR(VLOOKUP($I357,'Privacy Analyst Evaluation'!$A$46:$F$120,3,0),""))&amp;""</f>
        <v/>
      </c>
      <c r="L357" s="242" t="str">
        <f aca="false">IFERROR(VLOOKUP($I357,'Institution Evaluation'!$A$55:$F$346,4,0),IFERROR(VLOOKUP($I357,'Privacy Analyst Evaluation'!$A$46:$F$120,4,0),""))&amp;""</f>
        <v/>
      </c>
      <c r="M357" s="242" t="str">
        <f aca="false">IFERROR(VLOOKUP($I357,'Institution Evaluation'!$A$55:$F$346,6,0),IFERROR(VLOOKUP($I357,'Privacy Analyst Evaluation'!$A$46:$F$120,6,0),""))&amp;""</f>
        <v/>
      </c>
    </row>
    <row r="358" customFormat="false" ht="15" hidden="false" customHeight="false" outlineLevel="0" collapsed="false">
      <c r="A358" s="242" t="str">
        <f aca="false">IFERROR(IF($A357+1&gt;'(backend scoring)'!$T$335,"",$A357+1),"")</f>
        <v/>
      </c>
      <c r="B358" s="242" t="str">
        <f aca="false">_xlfn.XLOOKUP($A358,'(backend scoring)'!$V$2:$V$333,'(backend scoring)'!$A$2:$A$333,"")</f>
        <v/>
      </c>
      <c r="C358" s="242" t="str">
        <f aca="false">IFERROR(VLOOKUP($B358,'Institution Evaluation'!$A$55:$F$346,2,0),IFERROR(VLOOKUP($B358,'Privacy Analyst Evaluation'!$A$46:$F$120,2,0),""))&amp;""</f>
        <v/>
      </c>
      <c r="D358" s="242" t="str">
        <f aca="false">IFERROR(VLOOKUP($B358,'Institution Evaluation'!$A$55:$F$346,3,0),IFERROR(VLOOKUP($B358,'Privacy Analyst Evaluation'!$A$46:$F$120,3,0),""))&amp;""</f>
        <v/>
      </c>
      <c r="E358" s="242" t="str">
        <f aca="false">IFERROR(VLOOKUP($B358,'Institution Evaluation'!$A$55:$F$346,4,0),IFERROR(VLOOKUP($B358,'Privacy Analyst Evaluation'!$A$46:$F$120,4,0),""))&amp;""</f>
        <v/>
      </c>
      <c r="F358" s="242" t="str">
        <f aca="false">IFERROR(VLOOKUP($B358,'Institution Evaluation'!$A$55:$F$346,6,0),IFERROR(VLOOKUP($B358,'Privacy Analyst Evaluation'!$A$46:$F$120,6,0),""))&amp;""</f>
        <v/>
      </c>
      <c r="G358" s="243"/>
      <c r="H358" s="242" t="str">
        <f aca="false">IFERROR(IF($H357+1&gt;'(backend scoring)'!$Q$335,"",$H357+1),"")</f>
        <v/>
      </c>
      <c r="I358" s="242" t="str">
        <f aca="false">_xlfn.XLOOKUP($H358,'(backend scoring)'!$S$2:$S$333,'(backend scoring)'!$A$2:$A$333,"")</f>
        <v/>
      </c>
      <c r="J358" s="242" t="str">
        <f aca="false">IFERROR(VLOOKUP($I358,'Institution Evaluation'!$A$55:$F$346,2,0),IFERROR(VLOOKUP($I358,'Privacy Analyst Evaluation'!$A$46:$F$120,2,0),""))</f>
        <v/>
      </c>
      <c r="K358" s="242" t="str">
        <f aca="false">IFERROR(VLOOKUP($I358,'Institution Evaluation'!$A$55:$F$346,3,0),IFERROR(VLOOKUP($I358,'Privacy Analyst Evaluation'!$A$46:$F$120,3,0),""))&amp;""</f>
        <v/>
      </c>
      <c r="L358" s="242" t="str">
        <f aca="false">IFERROR(VLOOKUP($I358,'Institution Evaluation'!$A$55:$F$346,4,0),IFERROR(VLOOKUP($I358,'Privacy Analyst Evaluation'!$A$46:$F$120,4,0),""))&amp;""</f>
        <v/>
      </c>
      <c r="M358" s="242" t="str">
        <f aca="false">IFERROR(VLOOKUP($I358,'Institution Evaluation'!$A$55:$F$346,6,0),IFERROR(VLOOKUP($I358,'Privacy Analyst Evaluation'!$A$46:$F$120,6,0),""))&amp;""</f>
        <v/>
      </c>
    </row>
    <row r="359" customFormat="false" ht="15" hidden="false" customHeight="false" outlineLevel="0" collapsed="false">
      <c r="A359" s="242" t="str">
        <f aca="false">IFERROR(IF($A358+1&gt;'(backend scoring)'!$T$335,"",$A358+1),"")</f>
        <v/>
      </c>
      <c r="B359" s="242" t="str">
        <f aca="false">_xlfn.XLOOKUP($A359,'(backend scoring)'!$V$2:$V$333,'(backend scoring)'!$A$2:$A$333,"")</f>
        <v/>
      </c>
      <c r="C359" s="242" t="str">
        <f aca="false">IFERROR(VLOOKUP($B359,'Institution Evaluation'!$A$55:$F$346,2,0),IFERROR(VLOOKUP($B359,'Privacy Analyst Evaluation'!$A$46:$F$120,2,0),""))&amp;""</f>
        <v/>
      </c>
      <c r="D359" s="242" t="str">
        <f aca="false">IFERROR(VLOOKUP($B359,'Institution Evaluation'!$A$55:$F$346,3,0),IFERROR(VLOOKUP($B359,'Privacy Analyst Evaluation'!$A$46:$F$120,3,0),""))&amp;""</f>
        <v/>
      </c>
      <c r="E359" s="242" t="str">
        <f aca="false">IFERROR(VLOOKUP($B359,'Institution Evaluation'!$A$55:$F$346,4,0),IFERROR(VLOOKUP($B359,'Privacy Analyst Evaluation'!$A$46:$F$120,4,0),""))&amp;""</f>
        <v/>
      </c>
      <c r="F359" s="242" t="str">
        <f aca="false">IFERROR(VLOOKUP($B359,'Institution Evaluation'!$A$55:$F$346,6,0),IFERROR(VLOOKUP($B359,'Privacy Analyst Evaluation'!$A$46:$F$120,6,0),""))&amp;""</f>
        <v/>
      </c>
      <c r="G359" s="243"/>
      <c r="H359" s="242" t="str">
        <f aca="false">IFERROR(IF($H358+1&gt;'(backend scoring)'!$Q$335,"",$H358+1),"")</f>
        <v/>
      </c>
      <c r="I359" s="242" t="str">
        <f aca="false">_xlfn.XLOOKUP($H359,'(backend scoring)'!$S$2:$S$333,'(backend scoring)'!$A$2:$A$333,"")</f>
        <v/>
      </c>
      <c r="J359" s="242" t="str">
        <f aca="false">IFERROR(VLOOKUP($I359,'Institution Evaluation'!$A$55:$F$346,2,0),IFERROR(VLOOKUP($I359,'Privacy Analyst Evaluation'!$A$46:$F$120,2,0),""))</f>
        <v/>
      </c>
      <c r="K359" s="242" t="str">
        <f aca="false">IFERROR(VLOOKUP($I359,'Institution Evaluation'!$A$55:$F$346,3,0),IFERROR(VLOOKUP($I359,'Privacy Analyst Evaluation'!$A$46:$F$120,3,0),""))&amp;""</f>
        <v/>
      </c>
      <c r="L359" s="242" t="str">
        <f aca="false">IFERROR(VLOOKUP($I359,'Institution Evaluation'!$A$55:$F$346,4,0),IFERROR(VLOOKUP($I359,'Privacy Analyst Evaluation'!$A$46:$F$120,4,0),""))&amp;""</f>
        <v/>
      </c>
      <c r="M359" s="242" t="str">
        <f aca="false">IFERROR(VLOOKUP($I359,'Institution Evaluation'!$A$55:$F$346,6,0),IFERROR(VLOOKUP($I359,'Privacy Analyst Evaluation'!$A$46:$F$120,6,0),""))&amp;""</f>
        <v/>
      </c>
    </row>
    <row r="360" customFormat="false" ht="15" hidden="false" customHeight="false" outlineLevel="0" collapsed="false">
      <c r="A360" s="242" t="str">
        <f aca="false">IFERROR(IF($A359+1&gt;'(backend scoring)'!$T$335,"",$A359+1),"")</f>
        <v/>
      </c>
      <c r="B360" s="242" t="str">
        <f aca="false">_xlfn.XLOOKUP($A360,'(backend scoring)'!$V$2:$V$333,'(backend scoring)'!$A$2:$A$333,"")</f>
        <v/>
      </c>
      <c r="C360" s="242" t="str">
        <f aca="false">IFERROR(VLOOKUP($B360,'Institution Evaluation'!$A$55:$F$346,2,0),IFERROR(VLOOKUP($B360,'Privacy Analyst Evaluation'!$A$46:$F$120,2,0),""))&amp;""</f>
        <v/>
      </c>
      <c r="D360" s="242" t="str">
        <f aca="false">IFERROR(VLOOKUP($B360,'Institution Evaluation'!$A$55:$F$346,3,0),IFERROR(VLOOKUP($B360,'Privacy Analyst Evaluation'!$A$46:$F$120,3,0),""))&amp;""</f>
        <v/>
      </c>
      <c r="E360" s="242" t="str">
        <f aca="false">IFERROR(VLOOKUP($B360,'Institution Evaluation'!$A$55:$F$346,4,0),IFERROR(VLOOKUP($B360,'Privacy Analyst Evaluation'!$A$46:$F$120,4,0),""))&amp;""</f>
        <v/>
      </c>
      <c r="F360" s="242" t="str">
        <f aca="false">IFERROR(VLOOKUP($B360,'Institution Evaluation'!$A$55:$F$346,6,0),IFERROR(VLOOKUP($B360,'Privacy Analyst Evaluation'!$A$46:$F$120,6,0),""))&amp;""</f>
        <v/>
      </c>
      <c r="G360" s="243"/>
      <c r="H360" s="242" t="str">
        <f aca="false">IFERROR(IF($H359+1&gt;'(backend scoring)'!$Q$335,"",$H359+1),"")</f>
        <v/>
      </c>
      <c r="I360" s="242" t="str">
        <f aca="false">_xlfn.XLOOKUP($H360,'(backend scoring)'!$S$2:$S$333,'(backend scoring)'!$A$2:$A$333,"")</f>
        <v/>
      </c>
      <c r="J360" s="242" t="str">
        <f aca="false">IFERROR(VLOOKUP($I360,'Institution Evaluation'!$A$55:$F$346,2,0),IFERROR(VLOOKUP($I360,'Privacy Analyst Evaluation'!$A$46:$F$120,2,0),""))</f>
        <v/>
      </c>
      <c r="K360" s="242" t="str">
        <f aca="false">IFERROR(VLOOKUP($I360,'Institution Evaluation'!$A$55:$F$346,3,0),IFERROR(VLOOKUP($I360,'Privacy Analyst Evaluation'!$A$46:$F$120,3,0),""))&amp;""</f>
        <v/>
      </c>
      <c r="L360" s="242" t="str">
        <f aca="false">IFERROR(VLOOKUP($I360,'Institution Evaluation'!$A$55:$F$346,4,0),IFERROR(VLOOKUP($I360,'Privacy Analyst Evaluation'!$A$46:$F$120,4,0),""))&amp;""</f>
        <v/>
      </c>
      <c r="M360" s="242" t="str">
        <f aca="false">IFERROR(VLOOKUP($I360,'Institution Evaluation'!$A$55:$F$346,6,0),IFERROR(VLOOKUP($I360,'Privacy Analyst Evaluation'!$A$46:$F$120,6,0),""))&amp;""</f>
        <v/>
      </c>
    </row>
    <row r="361" customFormat="false" ht="15" hidden="false" customHeight="false" outlineLevel="0" collapsed="false">
      <c r="A361" s="242" t="str">
        <f aca="false">IFERROR(IF($A360+1&gt;'(backend scoring)'!$T$335,"",$A360+1),"")</f>
        <v/>
      </c>
      <c r="B361" s="242" t="str">
        <f aca="false">_xlfn.XLOOKUP($A361,'(backend scoring)'!$V$2:$V$333,'(backend scoring)'!$A$2:$A$333,"")</f>
        <v/>
      </c>
      <c r="C361" s="242" t="str">
        <f aca="false">IFERROR(VLOOKUP($B361,'Institution Evaluation'!$A$55:$F$346,2,0),IFERROR(VLOOKUP($B361,'Privacy Analyst Evaluation'!$A$46:$F$120,2,0),""))&amp;""</f>
        <v/>
      </c>
      <c r="D361" s="242" t="str">
        <f aca="false">IFERROR(VLOOKUP($B361,'Institution Evaluation'!$A$55:$F$346,3,0),IFERROR(VLOOKUP($B361,'Privacy Analyst Evaluation'!$A$46:$F$120,3,0),""))&amp;""</f>
        <v/>
      </c>
      <c r="E361" s="242" t="str">
        <f aca="false">IFERROR(VLOOKUP($B361,'Institution Evaluation'!$A$55:$F$346,4,0),IFERROR(VLOOKUP($B361,'Privacy Analyst Evaluation'!$A$46:$F$120,4,0),""))&amp;""</f>
        <v/>
      </c>
      <c r="F361" s="242" t="str">
        <f aca="false">IFERROR(VLOOKUP($B361,'Institution Evaluation'!$A$55:$F$346,6,0),IFERROR(VLOOKUP($B361,'Privacy Analyst Evaluation'!$A$46:$F$120,6,0),""))&amp;""</f>
        <v/>
      </c>
      <c r="G361" s="243"/>
      <c r="H361" s="242" t="str">
        <f aca="false">IFERROR(IF($H360+1&gt;'(backend scoring)'!$Q$335,"",$H360+1),"")</f>
        <v/>
      </c>
      <c r="I361" s="242" t="str">
        <f aca="false">_xlfn.XLOOKUP($H361,'(backend scoring)'!$S$2:$S$333,'(backend scoring)'!$A$2:$A$333,"")</f>
        <v/>
      </c>
      <c r="J361" s="242" t="str">
        <f aca="false">IFERROR(VLOOKUP($I361,'Institution Evaluation'!$A$55:$F$346,2,0),IFERROR(VLOOKUP($I361,'Privacy Analyst Evaluation'!$A$46:$F$120,2,0),""))</f>
        <v/>
      </c>
      <c r="K361" s="242" t="str">
        <f aca="false">IFERROR(VLOOKUP($I361,'Institution Evaluation'!$A$55:$F$346,3,0),IFERROR(VLOOKUP($I361,'Privacy Analyst Evaluation'!$A$46:$F$120,3,0),""))&amp;""</f>
        <v/>
      </c>
      <c r="L361" s="242" t="str">
        <f aca="false">IFERROR(VLOOKUP($I361,'Institution Evaluation'!$A$55:$F$346,4,0),IFERROR(VLOOKUP($I361,'Privacy Analyst Evaluation'!$A$46:$F$120,4,0),""))&amp;""</f>
        <v/>
      </c>
      <c r="M361" s="242" t="str">
        <f aca="false">IFERROR(VLOOKUP($I361,'Institution Evaluation'!$A$55:$F$346,6,0),IFERROR(VLOOKUP($I361,'Privacy Analyst Evaluation'!$A$46:$F$120,6,0),""))&amp;""</f>
        <v/>
      </c>
    </row>
    <row r="362" customFormat="false" ht="15" hidden="false" customHeight="false" outlineLevel="0" collapsed="false">
      <c r="A362" s="242" t="str">
        <f aca="false">IFERROR(IF($A361+1&gt;'(backend scoring)'!$T$335,"",$A361+1),"")</f>
        <v/>
      </c>
      <c r="B362" s="242" t="str">
        <f aca="false">_xlfn.XLOOKUP($A362,'(backend scoring)'!$V$2:$V$333,'(backend scoring)'!$A$2:$A$333,"")</f>
        <v/>
      </c>
      <c r="C362" s="242" t="str">
        <f aca="false">IFERROR(VLOOKUP($B362,'Institution Evaluation'!$A$55:$F$346,2,0),IFERROR(VLOOKUP($B362,'Privacy Analyst Evaluation'!$A$46:$F$120,2,0),""))&amp;""</f>
        <v/>
      </c>
      <c r="D362" s="242" t="str">
        <f aca="false">IFERROR(VLOOKUP($B362,'Institution Evaluation'!$A$55:$F$346,3,0),IFERROR(VLOOKUP($B362,'Privacy Analyst Evaluation'!$A$46:$F$120,3,0),""))&amp;""</f>
        <v/>
      </c>
      <c r="E362" s="242" t="str">
        <f aca="false">IFERROR(VLOOKUP($B362,'Institution Evaluation'!$A$55:$F$346,4,0),IFERROR(VLOOKUP($B362,'Privacy Analyst Evaluation'!$A$46:$F$120,4,0),""))&amp;""</f>
        <v/>
      </c>
      <c r="F362" s="242" t="str">
        <f aca="false">IFERROR(VLOOKUP($B362,'Institution Evaluation'!$A$55:$F$346,6,0),IFERROR(VLOOKUP($B362,'Privacy Analyst Evaluation'!$A$46:$F$120,6,0),""))&amp;""</f>
        <v/>
      </c>
      <c r="G362" s="243"/>
      <c r="H362" s="242" t="str">
        <f aca="false">IFERROR(IF($H361+1&gt;'(backend scoring)'!$Q$335,"",$H361+1),"")</f>
        <v/>
      </c>
      <c r="I362" s="242" t="str">
        <f aca="false">_xlfn.XLOOKUP($H362,'(backend scoring)'!$S$2:$S$333,'(backend scoring)'!$A$2:$A$333,"")</f>
        <v/>
      </c>
      <c r="J362" s="242" t="str">
        <f aca="false">IFERROR(VLOOKUP($I362,'Institution Evaluation'!$A$55:$F$346,2,0),IFERROR(VLOOKUP($I362,'Privacy Analyst Evaluation'!$A$46:$F$120,2,0),""))</f>
        <v/>
      </c>
      <c r="K362" s="242" t="str">
        <f aca="false">IFERROR(VLOOKUP($I362,'Institution Evaluation'!$A$55:$F$346,3,0),IFERROR(VLOOKUP($I362,'Privacy Analyst Evaluation'!$A$46:$F$120,3,0),""))&amp;""</f>
        <v/>
      </c>
      <c r="L362" s="242" t="str">
        <f aca="false">IFERROR(VLOOKUP($I362,'Institution Evaluation'!$A$55:$F$346,4,0),IFERROR(VLOOKUP($I362,'Privacy Analyst Evaluation'!$A$46:$F$120,4,0),""))&amp;""</f>
        <v/>
      </c>
      <c r="M362" s="242" t="str">
        <f aca="false">IFERROR(VLOOKUP($I362,'Institution Evaluation'!$A$55:$F$346,6,0),IFERROR(VLOOKUP($I362,'Privacy Analyst Evaluation'!$A$46:$F$120,6,0),""))&amp;""</f>
        <v/>
      </c>
    </row>
    <row r="363" customFormat="false" ht="15" hidden="false" customHeight="false" outlineLevel="0" collapsed="false">
      <c r="A363" s="242" t="str">
        <f aca="false">IFERROR(IF($A362+1&gt;'(backend scoring)'!$T$335,"",$A362+1),"")</f>
        <v/>
      </c>
      <c r="B363" s="242" t="str">
        <f aca="false">_xlfn.XLOOKUP($A363,'(backend scoring)'!$V$2:$V$333,'(backend scoring)'!$A$2:$A$333,"")</f>
        <v/>
      </c>
      <c r="C363" s="242" t="str">
        <f aca="false">IFERROR(VLOOKUP($B363,'Institution Evaluation'!$A$55:$F$346,2,0),IFERROR(VLOOKUP($B363,'Privacy Analyst Evaluation'!$A$46:$F$120,2,0),""))&amp;""</f>
        <v/>
      </c>
      <c r="D363" s="242" t="str">
        <f aca="false">IFERROR(VLOOKUP($B363,'Institution Evaluation'!$A$55:$F$346,3,0),IFERROR(VLOOKUP($B363,'Privacy Analyst Evaluation'!$A$46:$F$120,3,0),""))&amp;""</f>
        <v/>
      </c>
      <c r="E363" s="242" t="str">
        <f aca="false">IFERROR(VLOOKUP($B363,'Institution Evaluation'!$A$55:$F$346,4,0),IFERROR(VLOOKUP($B363,'Privacy Analyst Evaluation'!$A$46:$F$120,4,0),""))&amp;""</f>
        <v/>
      </c>
      <c r="F363" s="242" t="str">
        <f aca="false">IFERROR(VLOOKUP($B363,'Institution Evaluation'!$A$55:$F$346,6,0),IFERROR(VLOOKUP($B363,'Privacy Analyst Evaluation'!$A$46:$F$120,6,0),""))&amp;""</f>
        <v/>
      </c>
      <c r="G363" s="243"/>
      <c r="H363" s="242" t="str">
        <f aca="false">IFERROR(IF($H362+1&gt;'(backend scoring)'!$Q$335,"",$H362+1),"")</f>
        <v/>
      </c>
      <c r="I363" s="242" t="str">
        <f aca="false">_xlfn.XLOOKUP($H363,'(backend scoring)'!$S$2:$S$333,'(backend scoring)'!$A$2:$A$333,"")</f>
        <v/>
      </c>
      <c r="J363" s="242" t="str">
        <f aca="false">IFERROR(VLOOKUP($I363,'Institution Evaluation'!$A$55:$F$346,2,0),IFERROR(VLOOKUP($I363,'Privacy Analyst Evaluation'!$A$46:$F$120,2,0),""))</f>
        <v/>
      </c>
      <c r="K363" s="242" t="str">
        <f aca="false">IFERROR(VLOOKUP($I363,'Institution Evaluation'!$A$55:$F$346,3,0),IFERROR(VLOOKUP($I363,'Privacy Analyst Evaluation'!$A$46:$F$120,3,0),""))&amp;""</f>
        <v/>
      </c>
      <c r="L363" s="242" t="str">
        <f aca="false">IFERROR(VLOOKUP($I363,'Institution Evaluation'!$A$55:$F$346,4,0),IFERROR(VLOOKUP($I363,'Privacy Analyst Evaluation'!$A$46:$F$120,4,0),""))&amp;""</f>
        <v/>
      </c>
      <c r="M363" s="242" t="str">
        <f aca="false">IFERROR(VLOOKUP($I363,'Institution Evaluation'!$A$55:$F$346,6,0),IFERROR(VLOOKUP($I363,'Privacy Analyst Evaluation'!$A$46:$F$120,6,0),""))&amp;""</f>
        <v/>
      </c>
    </row>
    <row r="364" customFormat="false" ht="15" hidden="false" customHeight="false" outlineLevel="0" collapsed="false">
      <c r="A364" s="242" t="str">
        <f aca="false">IFERROR(IF($A363+1&gt;'(backend scoring)'!$T$335,"",$A363+1),"")</f>
        <v/>
      </c>
      <c r="B364" s="242" t="str">
        <f aca="false">_xlfn.XLOOKUP($A364,'(backend scoring)'!$V$2:$V$333,'(backend scoring)'!$A$2:$A$333,"")</f>
        <v/>
      </c>
      <c r="C364" s="242" t="str">
        <f aca="false">IFERROR(VLOOKUP($B364,'Institution Evaluation'!$A$55:$F$346,2,0),IFERROR(VLOOKUP($B364,'Privacy Analyst Evaluation'!$A$46:$F$120,2,0),""))&amp;""</f>
        <v/>
      </c>
      <c r="D364" s="242" t="str">
        <f aca="false">IFERROR(VLOOKUP($B364,'Institution Evaluation'!$A$55:$F$346,3,0),IFERROR(VLOOKUP($B364,'Privacy Analyst Evaluation'!$A$46:$F$120,3,0),""))&amp;""</f>
        <v/>
      </c>
      <c r="E364" s="242" t="str">
        <f aca="false">IFERROR(VLOOKUP($B364,'Institution Evaluation'!$A$55:$F$346,4,0),IFERROR(VLOOKUP($B364,'Privacy Analyst Evaluation'!$A$46:$F$120,4,0),""))&amp;""</f>
        <v/>
      </c>
      <c r="F364" s="242" t="str">
        <f aca="false">IFERROR(VLOOKUP($B364,'Institution Evaluation'!$A$55:$F$346,6,0),IFERROR(VLOOKUP($B364,'Privacy Analyst Evaluation'!$A$46:$F$120,6,0),""))&amp;""</f>
        <v/>
      </c>
      <c r="G364" s="243"/>
      <c r="H364" s="242" t="str">
        <f aca="false">IFERROR(IF($H363+1&gt;'(backend scoring)'!$Q$335,"",$H363+1),"")</f>
        <v/>
      </c>
      <c r="I364" s="242" t="str">
        <f aca="false">_xlfn.XLOOKUP($H364,'(backend scoring)'!$S$2:$S$333,'(backend scoring)'!$A$2:$A$333,"")</f>
        <v/>
      </c>
      <c r="J364" s="242" t="str">
        <f aca="false">IFERROR(VLOOKUP($I364,'Institution Evaluation'!$A$55:$F$346,2,0),IFERROR(VLOOKUP($I364,'Privacy Analyst Evaluation'!$A$46:$F$120,2,0),""))</f>
        <v/>
      </c>
      <c r="K364" s="242" t="str">
        <f aca="false">IFERROR(VLOOKUP($I364,'Institution Evaluation'!$A$55:$F$346,3,0),IFERROR(VLOOKUP($I364,'Privacy Analyst Evaluation'!$A$46:$F$120,3,0),""))&amp;""</f>
        <v/>
      </c>
      <c r="L364" s="242" t="str">
        <f aca="false">IFERROR(VLOOKUP($I364,'Institution Evaluation'!$A$55:$F$346,4,0),IFERROR(VLOOKUP($I364,'Privacy Analyst Evaluation'!$A$46:$F$120,4,0),""))&amp;""</f>
        <v/>
      </c>
      <c r="M364" s="242" t="str">
        <f aca="false">IFERROR(VLOOKUP($I364,'Institution Evaluation'!$A$55:$F$346,6,0),IFERROR(VLOOKUP($I364,'Privacy Analyst Evaluation'!$A$46:$F$120,6,0),""))&amp;""</f>
        <v/>
      </c>
    </row>
    <row r="365" customFormat="false" ht="15" hidden="false" customHeight="false" outlineLevel="0" collapsed="false">
      <c r="A365" s="242" t="str">
        <f aca="false">IFERROR(IF($A364+1&gt;'(backend scoring)'!$T$335,"",$A364+1),"")</f>
        <v/>
      </c>
      <c r="B365" s="242" t="str">
        <f aca="false">_xlfn.XLOOKUP($A365,'(backend scoring)'!$V$2:$V$333,'(backend scoring)'!$A$2:$A$333,"")</f>
        <v/>
      </c>
      <c r="C365" s="242" t="str">
        <f aca="false">IFERROR(VLOOKUP($B365,'Institution Evaluation'!$A$55:$F$346,2,0),IFERROR(VLOOKUP($B365,'Privacy Analyst Evaluation'!$A$46:$F$120,2,0),""))&amp;""</f>
        <v/>
      </c>
      <c r="D365" s="242" t="str">
        <f aca="false">IFERROR(VLOOKUP($B365,'Institution Evaluation'!$A$55:$F$346,3,0),IFERROR(VLOOKUP($B365,'Privacy Analyst Evaluation'!$A$46:$F$120,3,0),""))&amp;""</f>
        <v/>
      </c>
      <c r="E365" s="242" t="str">
        <f aca="false">IFERROR(VLOOKUP($B365,'Institution Evaluation'!$A$55:$F$346,4,0),IFERROR(VLOOKUP($B365,'Privacy Analyst Evaluation'!$A$46:$F$120,4,0),""))&amp;""</f>
        <v/>
      </c>
      <c r="F365" s="242" t="str">
        <f aca="false">IFERROR(VLOOKUP($B365,'Institution Evaluation'!$A$55:$F$346,6,0),IFERROR(VLOOKUP($B365,'Privacy Analyst Evaluation'!$A$46:$F$120,6,0),""))&amp;""</f>
        <v/>
      </c>
      <c r="G365" s="243"/>
      <c r="H365" s="242" t="str">
        <f aca="false">IFERROR(IF($H364+1&gt;'(backend scoring)'!$Q$335,"",$H364+1),"")</f>
        <v/>
      </c>
      <c r="I365" s="242" t="str">
        <f aca="false">_xlfn.XLOOKUP($H365,'(backend scoring)'!$S$2:$S$333,'(backend scoring)'!$A$2:$A$333,"")</f>
        <v/>
      </c>
      <c r="J365" s="242" t="str">
        <f aca="false">IFERROR(VLOOKUP($I365,'Institution Evaluation'!$A$55:$F$346,2,0),IFERROR(VLOOKUP($I365,'Privacy Analyst Evaluation'!$A$46:$F$120,2,0),""))</f>
        <v/>
      </c>
      <c r="K365" s="242" t="str">
        <f aca="false">IFERROR(VLOOKUP($I365,'Institution Evaluation'!$A$55:$F$346,3,0),IFERROR(VLOOKUP($I365,'Privacy Analyst Evaluation'!$A$46:$F$120,3,0),""))&amp;""</f>
        <v/>
      </c>
      <c r="L365" s="242" t="str">
        <f aca="false">IFERROR(VLOOKUP($I365,'Institution Evaluation'!$A$55:$F$346,4,0),IFERROR(VLOOKUP($I365,'Privacy Analyst Evaluation'!$A$46:$F$120,4,0),""))&amp;""</f>
        <v/>
      </c>
      <c r="M365" s="242" t="str">
        <f aca="false">IFERROR(VLOOKUP($I365,'Institution Evaluation'!$A$55:$F$346,6,0),IFERROR(VLOOKUP($I365,'Privacy Analyst Evaluation'!$A$46:$F$120,6,0),""))&amp;""</f>
        <v/>
      </c>
    </row>
    <row r="366" customFormat="false" ht="15" hidden="false" customHeight="false" outlineLevel="0" collapsed="false">
      <c r="A366" s="242" t="str">
        <f aca="false">IFERROR(IF($A365+1&gt;'(backend scoring)'!$T$335,"",$A365+1),"")</f>
        <v/>
      </c>
      <c r="B366" s="242" t="str">
        <f aca="false">_xlfn.XLOOKUP($A366,'(backend scoring)'!$V$2:$V$333,'(backend scoring)'!$A$2:$A$333,"")</f>
        <v/>
      </c>
      <c r="C366" s="242" t="str">
        <f aca="false">IFERROR(VLOOKUP($B366,'Institution Evaluation'!$A$55:$F$346,2,0),IFERROR(VLOOKUP($B366,'Privacy Analyst Evaluation'!$A$46:$F$120,2,0),""))&amp;""</f>
        <v/>
      </c>
      <c r="D366" s="242" t="str">
        <f aca="false">IFERROR(VLOOKUP($B366,'Institution Evaluation'!$A$55:$F$346,3,0),IFERROR(VLOOKUP($B366,'Privacy Analyst Evaluation'!$A$46:$F$120,3,0),""))&amp;""</f>
        <v/>
      </c>
      <c r="E366" s="242" t="str">
        <f aca="false">IFERROR(VLOOKUP($B366,'Institution Evaluation'!$A$55:$F$346,4,0),IFERROR(VLOOKUP($B366,'Privacy Analyst Evaluation'!$A$46:$F$120,4,0),""))&amp;""</f>
        <v/>
      </c>
      <c r="F366" s="242" t="str">
        <f aca="false">IFERROR(VLOOKUP($B366,'Institution Evaluation'!$A$55:$F$346,6,0),IFERROR(VLOOKUP($B366,'Privacy Analyst Evaluation'!$A$46:$F$120,6,0),""))&amp;""</f>
        <v/>
      </c>
      <c r="G366" s="243"/>
      <c r="H366" s="242" t="str">
        <f aca="false">IFERROR(IF($H365+1&gt;'(backend scoring)'!$Q$335,"",$H365+1),"")</f>
        <v/>
      </c>
      <c r="I366" s="242" t="str">
        <f aca="false">_xlfn.XLOOKUP($H366,'(backend scoring)'!$S$2:$S$333,'(backend scoring)'!$A$2:$A$333,"")</f>
        <v/>
      </c>
      <c r="J366" s="242" t="str">
        <f aca="false">IFERROR(VLOOKUP($I366,'Institution Evaluation'!$A$55:$F$346,2,0),IFERROR(VLOOKUP($I366,'Privacy Analyst Evaluation'!$A$46:$F$120,2,0),""))</f>
        <v/>
      </c>
      <c r="K366" s="242" t="str">
        <f aca="false">IFERROR(VLOOKUP($I366,'Institution Evaluation'!$A$55:$F$346,3,0),IFERROR(VLOOKUP($I366,'Privacy Analyst Evaluation'!$A$46:$F$120,3,0),""))&amp;""</f>
        <v/>
      </c>
      <c r="L366" s="242" t="str">
        <f aca="false">IFERROR(VLOOKUP($I366,'Institution Evaluation'!$A$55:$F$346,4,0),IFERROR(VLOOKUP($I366,'Privacy Analyst Evaluation'!$A$46:$F$120,4,0),""))&amp;""</f>
        <v/>
      </c>
      <c r="M366" s="242" t="str">
        <f aca="false">IFERROR(VLOOKUP($I366,'Institution Evaluation'!$A$55:$F$346,6,0),IFERROR(VLOOKUP($I366,'Privacy Analyst Evaluation'!$A$46:$F$120,6,0),""))&amp;""</f>
        <v/>
      </c>
    </row>
    <row r="367" customFormat="false" ht="15" hidden="false" customHeight="false" outlineLevel="0" collapsed="false">
      <c r="A367" s="242" t="str">
        <f aca="false">IFERROR(IF($A366+1&gt;'(backend scoring)'!$T$335,"",$A366+1),"")</f>
        <v/>
      </c>
      <c r="B367" s="242" t="str">
        <f aca="false">_xlfn.XLOOKUP($A367,'(backend scoring)'!$V$2:$V$333,'(backend scoring)'!$A$2:$A$333,"")</f>
        <v/>
      </c>
      <c r="C367" s="242" t="str">
        <f aca="false">IFERROR(VLOOKUP($B367,'Institution Evaluation'!$A$55:$F$346,2,0),IFERROR(VLOOKUP($B367,'Privacy Analyst Evaluation'!$A$46:$F$120,2,0),""))&amp;""</f>
        <v/>
      </c>
      <c r="D367" s="242" t="str">
        <f aca="false">IFERROR(VLOOKUP($B367,'Institution Evaluation'!$A$55:$F$346,3,0),IFERROR(VLOOKUP($B367,'Privacy Analyst Evaluation'!$A$46:$F$120,3,0),""))&amp;""</f>
        <v/>
      </c>
      <c r="E367" s="242" t="str">
        <f aca="false">IFERROR(VLOOKUP($B367,'Institution Evaluation'!$A$55:$F$346,4,0),IFERROR(VLOOKUP($B367,'Privacy Analyst Evaluation'!$A$46:$F$120,4,0),""))&amp;""</f>
        <v/>
      </c>
      <c r="F367" s="242" t="str">
        <f aca="false">IFERROR(VLOOKUP($B367,'Institution Evaluation'!$A$55:$F$346,6,0),IFERROR(VLOOKUP($B367,'Privacy Analyst Evaluation'!$A$46:$F$120,6,0),""))&amp;""</f>
        <v/>
      </c>
      <c r="G367" s="243"/>
      <c r="H367" s="242" t="str">
        <f aca="false">IFERROR(IF($H366+1&gt;'(backend scoring)'!$Q$335,"",$H366+1),"")</f>
        <v/>
      </c>
      <c r="I367" s="242" t="str">
        <f aca="false">_xlfn.XLOOKUP($H367,'(backend scoring)'!$S$2:$S$333,'(backend scoring)'!$A$2:$A$333,"")</f>
        <v/>
      </c>
      <c r="J367" s="242" t="str">
        <f aca="false">IFERROR(VLOOKUP($I367,'Institution Evaluation'!$A$55:$F$346,2,0),IFERROR(VLOOKUP($I367,'Privacy Analyst Evaluation'!$A$46:$F$120,2,0),""))</f>
        <v/>
      </c>
      <c r="K367" s="242" t="str">
        <f aca="false">IFERROR(VLOOKUP($I367,'Institution Evaluation'!$A$55:$F$346,3,0),IFERROR(VLOOKUP($I367,'Privacy Analyst Evaluation'!$A$46:$F$120,3,0),""))&amp;""</f>
        <v/>
      </c>
      <c r="L367" s="242" t="str">
        <f aca="false">IFERROR(VLOOKUP($I367,'Institution Evaluation'!$A$55:$F$346,4,0),IFERROR(VLOOKUP($I367,'Privacy Analyst Evaluation'!$A$46:$F$120,4,0),""))&amp;""</f>
        <v/>
      </c>
      <c r="M367" s="242" t="str">
        <f aca="false">IFERROR(VLOOKUP($I367,'Institution Evaluation'!$A$55:$F$346,6,0),IFERROR(VLOOKUP($I367,'Privacy Analyst Evaluation'!$A$46:$F$120,6,0),""))&amp;""</f>
        <v/>
      </c>
    </row>
    <row r="368" customFormat="false" ht="15" hidden="false" customHeight="false" outlineLevel="0" collapsed="false">
      <c r="A368" s="242" t="str">
        <f aca="false">IFERROR(IF($A367+1&gt;'(backend scoring)'!$T$335,"",$A367+1),"")</f>
        <v/>
      </c>
      <c r="B368" s="242" t="str">
        <f aca="false">_xlfn.XLOOKUP($A368,'(backend scoring)'!$V$2:$V$333,'(backend scoring)'!$A$2:$A$333,"")</f>
        <v/>
      </c>
      <c r="C368" s="242" t="str">
        <f aca="false">IFERROR(VLOOKUP($B368,'Institution Evaluation'!$A$55:$F$346,2,0),IFERROR(VLOOKUP($B368,'Privacy Analyst Evaluation'!$A$46:$F$120,2,0),""))&amp;""</f>
        <v/>
      </c>
      <c r="D368" s="242" t="str">
        <f aca="false">IFERROR(VLOOKUP($B368,'Institution Evaluation'!$A$55:$F$346,3,0),IFERROR(VLOOKUP($B368,'Privacy Analyst Evaluation'!$A$46:$F$120,3,0),""))&amp;""</f>
        <v/>
      </c>
      <c r="E368" s="242" t="str">
        <f aca="false">IFERROR(VLOOKUP($B368,'Institution Evaluation'!$A$55:$F$346,4,0),IFERROR(VLOOKUP($B368,'Privacy Analyst Evaluation'!$A$46:$F$120,4,0),""))&amp;""</f>
        <v/>
      </c>
      <c r="F368" s="242" t="str">
        <f aca="false">IFERROR(VLOOKUP($B368,'Institution Evaluation'!$A$55:$F$346,6,0),IFERROR(VLOOKUP($B368,'Privacy Analyst Evaluation'!$A$46:$F$120,6,0),""))&amp;""</f>
        <v/>
      </c>
      <c r="G368" s="243"/>
      <c r="H368" s="242" t="str">
        <f aca="false">IFERROR(IF($H367+1&gt;'(backend scoring)'!$Q$335,"",$H367+1),"")</f>
        <v/>
      </c>
      <c r="I368" s="242" t="str">
        <f aca="false">_xlfn.XLOOKUP($H368,'(backend scoring)'!$S$2:$S$333,'(backend scoring)'!$A$2:$A$333,"")</f>
        <v/>
      </c>
      <c r="J368" s="242" t="str">
        <f aca="false">IFERROR(VLOOKUP($I368,'Institution Evaluation'!$A$55:$F$346,2,0),IFERROR(VLOOKUP($I368,'Privacy Analyst Evaluation'!$A$46:$F$120,2,0),""))</f>
        <v/>
      </c>
      <c r="K368" s="242" t="str">
        <f aca="false">IFERROR(VLOOKUP($I368,'Institution Evaluation'!$A$55:$F$346,3,0),IFERROR(VLOOKUP($I368,'Privacy Analyst Evaluation'!$A$46:$F$120,3,0),""))&amp;""</f>
        <v/>
      </c>
      <c r="L368" s="242" t="str">
        <f aca="false">IFERROR(VLOOKUP($I368,'Institution Evaluation'!$A$55:$F$346,4,0),IFERROR(VLOOKUP($I368,'Privacy Analyst Evaluation'!$A$46:$F$120,4,0),""))&amp;""</f>
        <v/>
      </c>
      <c r="M368" s="242" t="str">
        <f aca="false">IFERROR(VLOOKUP($I368,'Institution Evaluation'!$A$55:$F$346,6,0),IFERROR(VLOOKUP($I368,'Privacy Analyst Evaluation'!$A$46:$F$120,6,0),""))&amp;""</f>
        <v/>
      </c>
      <c r="N368" s="51" t="s">
        <v>37</v>
      </c>
    </row>
    <row r="369" customFormat="false" ht="15" hidden="false" customHeight="false" outlineLevel="0" collapsed="false">
      <c r="A369" s="91" t="s">
        <v>338</v>
      </c>
      <c r="B369" s="91" t="s">
        <v>338</v>
      </c>
    </row>
    <row r="696" customFormat="false" ht="15" hidden="false" customHeight="false" outlineLevel="0" collapsed="false"/>
  </sheetData>
  <conditionalFormatting sqref="F19:F20">
    <cfRule type="dataBar" priority="2">
      <dataBar showValue="1" minLength="10" maxLength="90">
        <cfvo type="num" val="0"/>
        <cfvo type="num" val="1"/>
        <color rgb="FFD0DAF0"/>
      </dataBar>
      <extLst>
        <ext xmlns:x14="http://schemas.microsoft.com/office/spreadsheetml/2009/9/main" uri="{B025F937-C7B1-47D3-B67F-A62EFF666E3E}">
          <x14:id>{445D1666-B8F5-4651-8AA1-97B4EE853150}</x14:id>
        </ext>
      </extLst>
    </cfRule>
  </conditionalFormatting>
  <dataValidations count="1">
    <dataValidation allowBlank="true" errorStyle="stop" operator="between" prompt="Changes cannot be made in this sheet. Please make changes in the appropriate &quot;Evaluation&quot; tab." showDropDown="false" showErrorMessage="true" showInputMessage="true" sqref="A1:F1 H1:XFD8 B2:F2 A3:F8 A9:C20 N9:XFD368 D16:E20 F18:F20 A21:F1369 H23:M368 H369:XFD1369" type="none">
      <formula1>0</formula1>
      <formula2>0</formula2>
    </dataValidation>
  </dataValidations>
  <hyperlinks>
    <hyperlink ref="A8" r:id="rId1" display="4. For instructions on how to do a &quot;HECVAT Lite&quot; evaluation, please visit educause.edu/HECVAT. "/>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extLst>
    <ext xmlns:x14="http://schemas.microsoft.com/office/spreadsheetml/2009/9/main" uri="{78C0D931-6437-407d-A8EE-F0AAD7539E65}">
      <x14:conditionalFormattings>
        <x14:conditionalFormatting xmlns:xm="http://schemas.microsoft.com/office/excel/2006/main">
          <x14:cfRule type="dataBar" id="{445D1666-B8F5-4651-8AA1-97B4EE853150}">
            <x14:dataBar minLength="10" maxLength="90" axisPosition="none" gradient="false">
              <x14:cfvo type="num">
                <xm:f>0</xm:f>
              </x14:cfvo>
              <x14:cfvo type="num">
                <xm:f>1</xm:f>
              </x14:cfvo>
              <x14:negativeFillColor rgb="FFFF0000"/>
              <x14:axisColor rgb="FF00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0B233"/>
    <pageSetUpPr fitToPage="false"/>
  </sheetPr>
  <dimension ref="A1:N265"/>
  <sheetViews>
    <sheetView showFormulas="false" showGridLines="false" showRowColHeaders="true" showZeros="false" rightToLeft="false" tabSelected="false" showOutlineSymbols="true" defaultGridColor="true" view="normal" topLeftCell="A1" colorId="64" zoomScale="95" zoomScaleNormal="95" zoomScalePageLayoutView="100" workbookViewId="0">
      <selection pane="topLeft" activeCell="A2" activeCellId="0" sqref="A2"/>
    </sheetView>
  </sheetViews>
  <sheetFormatPr defaultColWidth="8.50390625" defaultRowHeight="12.8" customHeight="true" zeroHeight="true" outlineLevelRow="0" outlineLevelCol="0"/>
  <cols>
    <col collapsed="false" customWidth="true" hidden="false" outlineLevel="0" max="1" min="1" style="101" width="18.8"/>
    <col collapsed="false" customWidth="true" hidden="false" outlineLevel="0" max="2" min="2" style="101" width="41.4"/>
    <col collapsed="false" customWidth="true" hidden="false" outlineLevel="0" max="9" min="3" style="101" width="19.6"/>
    <col collapsed="false" customWidth="true" hidden="false" outlineLevel="0" max="10" min="10" style="101" width="18.8"/>
    <col collapsed="false" customWidth="true" hidden="true" outlineLevel="0" max="11" min="11" style="101" width="16.09"/>
    <col collapsed="false" customWidth="false" hidden="false" outlineLevel="0" max="12" min="12" style="101" width="8.5"/>
    <col collapsed="false" customWidth="true" hidden="true" outlineLevel="0" max="13" min="13" style="101" width="9.34"/>
    <col collapsed="false" customWidth="false" hidden="true" outlineLevel="0" max="16384" min="14" style="101" width="8.5"/>
  </cols>
  <sheetData>
    <row r="1" customFormat="false" ht="23.25" hidden="true" customHeight="true" outlineLevel="0" collapsed="false">
      <c r="A1" s="101" t="s">
        <v>455</v>
      </c>
    </row>
    <row r="2" s="244" customFormat="true" ht="36" hidden="false" customHeight="true" outlineLevel="0" collapsed="false">
      <c r="A2" s="102" t="s">
        <v>466</v>
      </c>
      <c r="B2" s="102"/>
      <c r="C2" s="102"/>
      <c r="D2" s="102"/>
      <c r="E2" s="102"/>
      <c r="F2" s="102"/>
      <c r="G2" s="102"/>
      <c r="H2" s="102"/>
      <c r="I2" s="219" t="str">
        <f aca="false">'Auto Responses'!$A$36</f>
        <v>Version 4.1.2</v>
      </c>
      <c r="J2" s="219"/>
    </row>
    <row r="3" customFormat="false" ht="21" hidden="false" customHeight="true" outlineLevel="0" collapsed="false">
      <c r="A3" s="106"/>
      <c r="B3" s="106"/>
      <c r="C3" s="106"/>
      <c r="D3" s="106"/>
      <c r="E3" s="106"/>
      <c r="F3" s="106"/>
      <c r="G3" s="106"/>
      <c r="H3" s="106"/>
      <c r="I3" s="106"/>
      <c r="J3" s="106"/>
    </row>
    <row r="4" customFormat="false" ht="36" hidden="false" customHeight="true" outlineLevel="0" collapsed="false">
      <c r="A4" s="107" t="s">
        <v>413</v>
      </c>
      <c r="B4" s="108"/>
      <c r="C4" s="108"/>
      <c r="D4" s="108"/>
      <c r="E4" s="108"/>
      <c r="F4" s="108"/>
      <c r="G4" s="108"/>
      <c r="H4" s="108"/>
      <c r="I4" s="108"/>
      <c r="J4" s="108"/>
    </row>
    <row r="5" s="110" customFormat="true" ht="19.5" hidden="false" customHeight="true" outlineLevel="0" collapsed="false">
      <c r="A5" s="109" t="str">
        <f aca="false">HLOOKUP($A$4,'Auto Responses'!$F$2:$F$7,2,0)&amp;""</f>
        <v>1. Upon initial review, you can check the "Non-Negotiable" box by any question to compile a report of questions that may prohibit a full review.</v>
      </c>
      <c r="B5" s="109"/>
      <c r="C5" s="109"/>
      <c r="D5" s="109"/>
      <c r="E5" s="109"/>
      <c r="F5" s="109"/>
      <c r="G5" s="109"/>
      <c r="H5" s="109"/>
      <c r="I5" s="109"/>
      <c r="J5" s="109"/>
    </row>
    <row r="6" s="110" customFormat="true" ht="19.5" hidden="false" customHeight="true" outlineLevel="0" collapsed="false">
      <c r="A6" s="109" t="str">
        <f aca="false">HLOOKUP($A$4,'Auto Responses'!$F$2:$F$7,3,0)&amp;""</f>
        <v>2. When evaluating an answer, a default importance level has been set. You can use the "Importance Override" dropdown to override the default and adjust the value of the question.</v>
      </c>
      <c r="B6" s="109"/>
      <c r="C6" s="109"/>
      <c r="D6" s="109"/>
      <c r="E6" s="109"/>
      <c r="F6" s="109"/>
      <c r="G6" s="109"/>
      <c r="H6" s="109"/>
      <c r="I6" s="109"/>
      <c r="J6" s="109"/>
    </row>
    <row r="7" s="110" customFormat="true" ht="19.5" hidden="false" customHeight="true" outlineLevel="0" collapsed="false">
      <c r="A7" s="109" t="str">
        <f aca="false">HLOOKUP($A$4,'Auto Responses'!$F$2:$F$7,4,0)&amp;""</f>
        <v>3. For questions that are qualitative or for which you disagree with the preferred response, make a selection in the "Compliant Override" dropdown to adjust the question's impact on the score.</v>
      </c>
      <c r="B7" s="109"/>
      <c r="C7" s="109"/>
      <c r="D7" s="109"/>
      <c r="E7" s="109"/>
      <c r="F7" s="109"/>
      <c r="G7" s="109"/>
      <c r="H7" s="109"/>
      <c r="I7" s="109"/>
      <c r="J7" s="109"/>
    </row>
    <row r="8" s="110" customFormat="true" ht="19.5" hidden="false" customHeight="true" outlineLevel="0" collapsed="false">
      <c r="A8" s="109" t="str">
        <f aca="false">HLOOKUP($A$4,'Auto Responses'!$F$2:$F$7,5,0)&amp;""</f>
        <v>4. Each worksheet shows a report for that section. See the "Analyst Report" sheet for a full report of all sections. </v>
      </c>
      <c r="B8" s="109"/>
      <c r="C8" s="109"/>
      <c r="D8" s="109"/>
      <c r="E8" s="109"/>
      <c r="F8" s="109"/>
      <c r="G8" s="109"/>
      <c r="H8" s="109"/>
      <c r="I8" s="109"/>
      <c r="J8" s="109"/>
    </row>
    <row r="9" s="110" customFormat="true" ht="19.5" hidden="false" customHeight="true" outlineLevel="0" collapsed="false">
      <c r="A9" s="109" t="str">
        <f aca="false">HLOOKUP($A$4,'Auto Responses'!$F$2:$F$7,6,0)&amp;""</f>
        <v>5. If you are evaluating a question that appears in an earlier section, the Importance and Compliant Override cannot be changed but additional notes can be added. </v>
      </c>
      <c r="B9" s="109"/>
      <c r="C9" s="109"/>
      <c r="D9" s="109"/>
      <c r="E9" s="109"/>
      <c r="F9" s="109"/>
      <c r="G9" s="109"/>
      <c r="H9" s="109"/>
      <c r="I9" s="109"/>
      <c r="J9" s="109"/>
    </row>
    <row r="10" customFormat="false" ht="19.5" hidden="false" customHeight="true" outlineLevel="0" collapsed="false">
      <c r="A10" s="111" t="str">
        <f aca="false">HLOOKUP($A$4,'Auto Responses'!$F$2:$F$8,7,0)&amp;""</f>
        <v>For full instructions, please visit EDUCAUSE.edu/HECVAT</v>
      </c>
      <c r="B10" s="112"/>
      <c r="C10" s="112"/>
      <c r="D10" s="112"/>
      <c r="E10" s="112"/>
      <c r="F10" s="112"/>
      <c r="G10" s="112"/>
      <c r="H10" s="112"/>
      <c r="I10" s="112"/>
      <c r="J10" s="112"/>
    </row>
    <row r="11" s="121" customFormat="true" ht="25.5" hidden="false" customHeight="true" outlineLevel="0" collapsed="false">
      <c r="A11" s="113" t="str">
        <f aca="false">'START HERE'!$B$13</f>
        <v>Solution Provider Name</v>
      </c>
      <c r="B11" s="114"/>
      <c r="C11" s="115" t="str">
        <f aca="false">VLOOKUP($A11,'START HERE'!$B$13:$C$21,2,0)&amp;""</f>
        <v>QGIS.org</v>
      </c>
      <c r="D11" s="116"/>
      <c r="E11" s="224"/>
      <c r="F11" s="119"/>
      <c r="G11" s="119"/>
      <c r="H11" s="120"/>
      <c r="I11" s="119"/>
      <c r="J11" s="119"/>
    </row>
    <row r="12" s="121" customFormat="true" ht="25.5" hidden="false" customHeight="true" outlineLevel="0" collapsed="false">
      <c r="A12" s="122" t="str">
        <f aca="false">'START HERE'!$B$16</f>
        <v>Solution Provider Contact Name</v>
      </c>
      <c r="B12" s="123"/>
      <c r="C12" s="124" t="str">
        <f aca="false">VLOOKUP($A12,'START HERE'!$B$13:$C$21,2,0)&amp;""</f>
        <v>Program Steering Commitee (PSC)</v>
      </c>
      <c r="D12" s="125"/>
      <c r="E12" s="225"/>
      <c r="F12" s="119"/>
      <c r="G12" s="119"/>
      <c r="H12" s="120"/>
      <c r="I12" s="119"/>
      <c r="J12" s="119"/>
    </row>
    <row r="13" s="121" customFormat="true" ht="25.5" hidden="false" customHeight="true" outlineLevel="0" collapsed="false">
      <c r="A13" s="122" t="str">
        <f aca="false">'START HERE'!$B$17</f>
        <v>Solution Provider Contact Title</v>
      </c>
      <c r="B13" s="123"/>
      <c r="C13" s="124" t="str">
        <f aca="false">VLOOKUP($A13,'START HERE'!$B$13:$C$21,2,0)&amp;""</f>
        <v>PSC</v>
      </c>
      <c r="D13" s="125"/>
      <c r="E13" s="225"/>
      <c r="F13" s="119"/>
      <c r="G13" s="119"/>
      <c r="H13" s="120"/>
      <c r="I13" s="119"/>
      <c r="J13" s="119"/>
    </row>
    <row r="14" s="121" customFormat="true" ht="25.5" hidden="false" customHeight="true" outlineLevel="0" collapsed="false">
      <c r="A14" s="122" t="str">
        <f aca="false">'START HERE'!$B$18</f>
        <v>Solution Provider Contact Email</v>
      </c>
      <c r="B14" s="123"/>
      <c r="C14" s="124" t="str">
        <f aca="false">VLOOKUP($A14,'START HERE'!$B$13:$C$21,2,0)&amp;""</f>
        <v>qgis-psc@lists.osgeo.org.</v>
      </c>
      <c r="D14" s="125"/>
      <c r="E14" s="225"/>
      <c r="F14" s="226"/>
    </row>
    <row r="15" s="121" customFormat="true" ht="25.5" hidden="false" customHeight="true" outlineLevel="0" collapsed="false">
      <c r="A15" s="122" t="str">
        <f aca="false">'START HERE'!$B$14</f>
        <v>Solution Name</v>
      </c>
      <c r="B15" s="123"/>
      <c r="C15" s="124" t="str">
        <f aca="false">VLOOKUP($A15,'START HERE'!$B$13:$C$21,2,0)&amp;""</f>
        <v>QGIS.org</v>
      </c>
      <c r="D15" s="125"/>
      <c r="E15" s="225"/>
      <c r="F15" s="226"/>
    </row>
    <row r="16" s="121" customFormat="true" ht="25.5" hidden="false" customHeight="true" outlineLevel="0" collapsed="false">
      <c r="A16" s="122" t="str">
        <f aca="false">'START HERE'!$B$15</f>
        <v>Solution Description</v>
      </c>
      <c r="B16" s="123"/>
      <c r="C16" s="124" t="str">
        <f aca="false">VLOOKUP($A16,'START HERE'!$B$13:$C$21,2,0)&amp;""</f>
        <v>QGIS is a free and open source Geographic information system, running on Windows, MacOS, Linux and with solution for mobile OS.</v>
      </c>
      <c r="D16" s="125"/>
      <c r="E16" s="225"/>
      <c r="F16" s="226"/>
    </row>
    <row r="17" s="121" customFormat="true" ht="25.5" hidden="false" customHeight="true" outlineLevel="0" collapsed="false">
      <c r="A17" s="128" t="s">
        <v>414</v>
      </c>
      <c r="B17" s="129"/>
      <c r="C17" s="130" t="n">
        <f aca="false">'START HERE'!$C$3</f>
        <v>0</v>
      </c>
      <c r="D17" s="131"/>
      <c r="E17" s="227"/>
      <c r="F17" s="226"/>
    </row>
    <row r="18" s="121" customFormat="true" ht="24.75" hidden="false" customHeight="true" outlineLevel="0" collapsed="false">
      <c r="A18" s="119"/>
      <c r="B18" s="119"/>
      <c r="C18" s="133"/>
      <c r="D18" s="134"/>
      <c r="E18" s="119"/>
      <c r="F18" s="119"/>
      <c r="G18" s="119"/>
      <c r="H18" s="120"/>
      <c r="I18" s="120"/>
      <c r="J18" s="120"/>
    </row>
    <row r="19" s="137" customFormat="true" ht="24" hidden="false" customHeight="true" outlineLevel="0" collapsed="false">
      <c r="A19" s="135"/>
      <c r="B19" s="135"/>
      <c r="C19" s="135"/>
      <c r="D19" s="135"/>
      <c r="E19" s="136"/>
      <c r="F19" s="136"/>
      <c r="G19" s="136"/>
      <c r="H19" s="136"/>
      <c r="I19" s="136"/>
      <c r="J19" s="136"/>
      <c r="K19" s="136"/>
      <c r="L19" s="136"/>
      <c r="M19" s="136"/>
      <c r="N19" s="136"/>
    </row>
    <row r="20" s="137" customFormat="true" ht="30" hidden="false" customHeight="true" outlineLevel="0" collapsed="false">
      <c r="A20" s="138" t="s">
        <v>415</v>
      </c>
      <c r="B20" s="139" t="s">
        <v>416</v>
      </c>
      <c r="C20" s="140" t="s">
        <v>417</v>
      </c>
      <c r="D20" s="141" t="s">
        <v>418</v>
      </c>
      <c r="E20" s="142" t="s">
        <v>419</v>
      </c>
      <c r="F20" s="142" t="s">
        <v>420</v>
      </c>
      <c r="G20" s="143" t="s">
        <v>421</v>
      </c>
      <c r="H20" s="144"/>
      <c r="I20" s="145"/>
      <c r="J20" s="101"/>
      <c r="K20" s="101"/>
      <c r="L20" s="101"/>
      <c r="M20" s="101"/>
      <c r="N20" s="101"/>
    </row>
    <row r="21" s="137" customFormat="true" ht="40.5" hidden="false" customHeight="true" outlineLevel="0" collapsed="false">
      <c r="B21" s="146" t="str">
        <f aca="false">VLOOKUP($K21,'Auto Responses'!$N$4:$O$38,2,0)&amp;""</f>
        <v> General Privacy</v>
      </c>
      <c r="C21" s="147" t="b">
        <f aca="false">TRUE()</f>
        <v>1</v>
      </c>
      <c r="D21" s="148" t="n">
        <f aca="false">IF($C21=TRUE(),SUMIF('(backend scoring)'!$B$3:$B$333,$K21,'(backend scoring)'!$O$3:$O$333),"")</f>
        <v>0</v>
      </c>
      <c r="E21" s="149" t="n">
        <f aca="false">IF($C21=TRUE(),SUMIF('(backend scoring)'!$B$3:$B$333,$K21,'(backend scoring)'!$P$3:$P$333),"")</f>
        <v>0</v>
      </c>
      <c r="F21" s="150" t="str">
        <f aca="false">IFERROR($E21/$D21,"N/A")</f>
        <v>N/A</v>
      </c>
      <c r="G21" s="151" t="str">
        <f aca="false">"Jump to "&amp;B21</f>
        <v>Jump to  General Privacy</v>
      </c>
      <c r="H21" s="152"/>
      <c r="I21" s="153"/>
      <c r="K21" s="137" t="s">
        <v>467</v>
      </c>
    </row>
    <row r="22" s="137" customFormat="true" ht="40.5" hidden="false" customHeight="true" outlineLevel="0" collapsed="false">
      <c r="B22" s="146" t="str">
        <f aca="false">VLOOKUP($K22,'Auto Responses'!$N$4:$O$38,2,0)&amp;""</f>
        <v> Privacy-Specific Company Details</v>
      </c>
      <c r="C22" s="147" t="b">
        <f aca="false">TRUE()</f>
        <v>1</v>
      </c>
      <c r="D22" s="148" t="n">
        <f aca="false">IF($C22=TRUE(),SUMIF('(backend scoring)'!$B$3:$B$333,$K22,'(backend scoring)'!$O$3:$O$333),"")</f>
        <v>0</v>
      </c>
      <c r="E22" s="149" t="n">
        <f aca="false">IF($C22=TRUE(),SUMIF('(backend scoring)'!$B$3:$B$333,$K22,'(backend scoring)'!$P$3:$P$333),"")</f>
        <v>0</v>
      </c>
      <c r="F22" s="155" t="str">
        <f aca="false">IFERROR($E22/$D22,"N/A")</f>
        <v>N/A</v>
      </c>
      <c r="G22" s="156" t="str">
        <f aca="false">"Jump to "&amp;B22</f>
        <v>Jump to  Privacy-Specific Company Details</v>
      </c>
      <c r="H22" s="157"/>
      <c r="I22" s="158"/>
      <c r="K22" s="137" t="s">
        <v>468</v>
      </c>
    </row>
    <row r="23" s="137" customFormat="true" ht="40.5" hidden="false" customHeight="true" outlineLevel="0" collapsed="false">
      <c r="B23" s="146" t="str">
        <f aca="false">VLOOKUP($K23,'Auto Responses'!$N$4:$O$38,2,0)&amp;""</f>
        <v> Privacy-Specific Documentation</v>
      </c>
      <c r="C23" s="147" t="b">
        <f aca="false">TRUE()</f>
        <v>1</v>
      </c>
      <c r="D23" s="148" t="n">
        <f aca="false">IF($C23=TRUE(),SUMIF('(backend scoring)'!$B$3:$B$333,$K23,'(backend scoring)'!$O$3:$O$333),"")</f>
        <v>0</v>
      </c>
      <c r="E23" s="149" t="n">
        <f aca="false">IF($C23=TRUE(),SUMIF('(backend scoring)'!$B$3:$B$333,$K23,'(backend scoring)'!$P$3:$P$333),"")</f>
        <v>0</v>
      </c>
      <c r="F23" s="155" t="str">
        <f aca="false">IFERROR($E23/$D23,"N/A")</f>
        <v>N/A</v>
      </c>
      <c r="G23" s="156" t="str">
        <f aca="false">"Jump to "&amp;B23</f>
        <v>Jump to  Privacy-Specific Documentation</v>
      </c>
      <c r="H23" s="157"/>
      <c r="I23" s="158"/>
      <c r="K23" s="137" t="s">
        <v>469</v>
      </c>
    </row>
    <row r="24" s="137" customFormat="true" ht="40.5" hidden="false" customHeight="true" outlineLevel="0" collapsed="false">
      <c r="B24" s="146" t="str">
        <f aca="false">VLOOKUP($K24,'Auto Responses'!$N$4:$O$38,2,0)&amp;""</f>
        <v> Privacy of Third Parties</v>
      </c>
      <c r="C24" s="147" t="b">
        <f aca="false">TRUE()</f>
        <v>1</v>
      </c>
      <c r="D24" s="148" t="n">
        <f aca="false">IF($C24=TRUE(),SUMIF('(backend scoring)'!$B$3:$B$333,$K24,'(backend scoring)'!$O$3:$O$333),"")</f>
        <v>0</v>
      </c>
      <c r="E24" s="149" t="n">
        <f aca="false">IF($C24=TRUE(),SUMIF('(backend scoring)'!$B$3:$B$333,$K24,'(backend scoring)'!$P$3:$P$333),"")</f>
        <v>0</v>
      </c>
      <c r="F24" s="155" t="str">
        <f aca="false">IFERROR($E24/$D24,"N/A")</f>
        <v>N/A</v>
      </c>
      <c r="G24" s="156" t="str">
        <f aca="false">"Jump to "&amp;B24</f>
        <v>Jump to  Privacy of Third Parties</v>
      </c>
      <c r="H24" s="157"/>
      <c r="I24" s="158"/>
      <c r="K24" s="137" t="s">
        <v>470</v>
      </c>
    </row>
    <row r="25" customFormat="false" ht="40.5" hidden="false" customHeight="true" outlineLevel="0" collapsed="false">
      <c r="A25" s="137"/>
      <c r="B25" s="146" t="str">
        <f aca="false">VLOOKUP($K25,'Auto Responses'!$N$4:$O$38,2,0)&amp;""</f>
        <v> Privacy Change Management</v>
      </c>
      <c r="C25" s="147" t="b">
        <f aca="false">TRUE()</f>
        <v>1</v>
      </c>
      <c r="D25" s="148" t="n">
        <f aca="false">IF($C25=TRUE(),SUMIF('(backend scoring)'!$B$3:$B$333,$K25,'(backend scoring)'!$O$3:$O$333),"")</f>
        <v>0</v>
      </c>
      <c r="E25" s="149" t="n">
        <f aca="false">IF($C25=TRUE(),SUMIF('(backend scoring)'!$B$3:$B$333,$K25,'(backend scoring)'!$P$3:$P$333),"")</f>
        <v>0</v>
      </c>
      <c r="F25" s="155" t="str">
        <f aca="false">IFERROR($E25/$D25,"N/A")</f>
        <v>N/A</v>
      </c>
      <c r="G25" s="156" t="str">
        <f aca="false">"Jump to "&amp;B25</f>
        <v>Jump to  Privacy Change Management</v>
      </c>
      <c r="H25" s="157"/>
      <c r="I25" s="158"/>
      <c r="J25" s="137"/>
      <c r="K25" s="137" t="s">
        <v>471</v>
      </c>
      <c r="L25" s="137"/>
      <c r="M25" s="137"/>
      <c r="N25" s="137"/>
    </row>
    <row r="26" customFormat="false" ht="40.5" hidden="false" customHeight="true" outlineLevel="0" collapsed="false">
      <c r="A26" s="137"/>
      <c r="B26" s="146" t="str">
        <f aca="false">VLOOKUP($K26,'Auto Responses'!$N$4:$O$38,2,0)&amp;""</f>
        <v> Privacy of Sensitive Data</v>
      </c>
      <c r="C26" s="147" t="b">
        <f aca="false">TRUE()</f>
        <v>1</v>
      </c>
      <c r="D26" s="148" t="n">
        <f aca="false">IF($C26=TRUE(),SUMIF('(backend scoring)'!$B$3:$B$333,$K26,'(backend scoring)'!$O$3:$O$333),"")</f>
        <v>0</v>
      </c>
      <c r="E26" s="149" t="n">
        <f aca="false">IF($C26=TRUE(),SUMIF('(backend scoring)'!$B$3:$B$333,$K26,'(backend scoring)'!$P$3:$P$333),"")</f>
        <v>0</v>
      </c>
      <c r="F26" s="155" t="str">
        <f aca="false">IFERROR($E26/$D26,"N/A")</f>
        <v>N/A</v>
      </c>
      <c r="G26" s="156" t="str">
        <f aca="false">"Jump to "&amp;B26</f>
        <v>Jump to  Privacy of Sensitive Data</v>
      </c>
      <c r="H26" s="157"/>
      <c r="I26" s="158"/>
      <c r="J26" s="137"/>
      <c r="K26" s="137" t="s">
        <v>472</v>
      </c>
      <c r="L26" s="137"/>
      <c r="M26" s="137"/>
      <c r="N26" s="137"/>
    </row>
    <row r="27" customFormat="false" ht="40.5" hidden="false" customHeight="true" outlineLevel="0" collapsed="false">
      <c r="A27" s="137"/>
      <c r="B27" s="146" t="str">
        <f aca="false">VLOOKUP($K27,'Auto Responses'!$N$4:$O$38,2,0)&amp;""</f>
        <v> Privacy Policies and Procedures</v>
      </c>
      <c r="C27" s="147" t="b">
        <f aca="false">TRUE()</f>
        <v>1</v>
      </c>
      <c r="D27" s="148" t="n">
        <f aca="false">IF($C27=TRUE(),SUMIF('(backend scoring)'!$B$3:$B$333,$K27,'(backend scoring)'!$O$3:$O$333),"")</f>
        <v>0</v>
      </c>
      <c r="E27" s="149" t="n">
        <f aca="false">IF($C27=TRUE(),SUMIF('(backend scoring)'!$B$3:$B$333,$K27,'(backend scoring)'!$P$3:$P$333),"")</f>
        <v>0</v>
      </c>
      <c r="F27" s="155" t="str">
        <f aca="false">IFERROR($E27/$D27,"N/A")</f>
        <v>N/A</v>
      </c>
      <c r="G27" s="156" t="str">
        <f aca="false">"Jump to "&amp;B27</f>
        <v>Jump to  Privacy Policies and Procedures</v>
      </c>
      <c r="H27" s="157"/>
      <c r="I27" s="158"/>
      <c r="J27" s="137"/>
      <c r="K27" s="137" t="s">
        <v>473</v>
      </c>
      <c r="L27" s="137"/>
      <c r="M27" s="137"/>
      <c r="N27" s="137"/>
    </row>
    <row r="28" s="245" customFormat="true" ht="40.5" hidden="false" customHeight="true" outlineLevel="0" collapsed="false">
      <c r="A28" s="137"/>
      <c r="B28" s="146" t="str">
        <f aca="false">VLOOKUP($K28,'Auto Responses'!$N$4:$O$38,2,0)&amp;""</f>
        <v> International Privacy</v>
      </c>
      <c r="C28" s="147" t="b">
        <f aca="false">TRUE()</f>
        <v>1</v>
      </c>
      <c r="D28" s="148" t="n">
        <f aca="false">IF($C28=TRUE(),SUMIF('(backend scoring)'!$B$3:$B$333,$K28,'(backend scoring)'!$O$3:$O$333),"")</f>
        <v>0</v>
      </c>
      <c r="E28" s="149" t="n">
        <f aca="false">IF($C28=TRUE(),SUMIF('(backend scoring)'!$B$3:$B$333,$K28,'(backend scoring)'!$P$3:$P$333),"")</f>
        <v>0</v>
      </c>
      <c r="F28" s="155" t="str">
        <f aca="false">IFERROR($E28/$D28,"N/A")</f>
        <v>N/A</v>
      </c>
      <c r="G28" s="156" t="str">
        <f aca="false">"Jump to "&amp;B28</f>
        <v>Jump to  International Privacy</v>
      </c>
      <c r="H28" s="157"/>
      <c r="I28" s="158"/>
      <c r="J28" s="137"/>
      <c r="K28" s="137" t="s">
        <v>474</v>
      </c>
      <c r="L28" s="137"/>
      <c r="M28" s="137"/>
      <c r="N28" s="137"/>
    </row>
    <row r="29" s="60" customFormat="true" ht="40.5" hidden="false" customHeight="true" outlineLevel="0" collapsed="false">
      <c r="A29" s="137"/>
      <c r="B29" s="146" t="str">
        <f aca="false">VLOOKUP($K29,'Auto Responses'!$N$4:$O$38,2,0)&amp;""</f>
        <v> Data Privacy</v>
      </c>
      <c r="C29" s="147" t="b">
        <f aca="false">TRUE()</f>
        <v>1</v>
      </c>
      <c r="D29" s="148" t="n">
        <f aca="false">IF($C29=TRUE(),SUMIF('(backend scoring)'!$B$3:$B$333,$K29,'(backend scoring)'!$O$3:$O$333),"")</f>
        <v>0</v>
      </c>
      <c r="E29" s="149" t="n">
        <f aca="false">IF($C29=TRUE(),SUMIF('(backend scoring)'!$B$3:$B$333,$K29,'(backend scoring)'!$P$3:$P$333),"")</f>
        <v>0</v>
      </c>
      <c r="F29" s="155" t="str">
        <f aca="false">IFERROR($E29/$D29,"N/A")</f>
        <v>N/A</v>
      </c>
      <c r="G29" s="156" t="str">
        <f aca="false">"Jump to "&amp;B29</f>
        <v>Jump to  Data Privacy</v>
      </c>
      <c r="H29" s="157"/>
      <c r="I29" s="158"/>
      <c r="J29" s="137"/>
      <c r="K29" s="137" t="s">
        <v>475</v>
      </c>
      <c r="L29" s="137"/>
      <c r="M29" s="137"/>
      <c r="N29" s="137"/>
    </row>
    <row r="30" s="1" customFormat="true" ht="40.5" hidden="false" customHeight="true" outlineLevel="0" collapsed="false">
      <c r="A30" s="137"/>
      <c r="B30" s="146" t="str">
        <f aca="false">VLOOKUP($K30,'Auto Responses'!$N$4:$O$38,2,0)&amp;""</f>
        <v> Privacy and AI</v>
      </c>
      <c r="C30" s="147" t="b">
        <f aca="false">TRUE()</f>
        <v>1</v>
      </c>
      <c r="D30" s="148" t="n">
        <f aca="false">IF($C30=TRUE(),SUMIF('(backend scoring)'!$B$3:$B$333,$K30,'(backend scoring)'!$O$3:$O$333),"")</f>
        <v>0</v>
      </c>
      <c r="E30" s="149" t="n">
        <f aca="false">IF($C30=TRUE(),SUMIF('(backend scoring)'!$B$3:$B$333,$K30,'(backend scoring)'!$P$3:$P$333),"")</f>
        <v>0</v>
      </c>
      <c r="F30" s="155" t="str">
        <f aca="false">IFERROR($E30/$D30,"N/A")</f>
        <v>N/A</v>
      </c>
      <c r="G30" s="156" t="str">
        <f aca="false">"Jump to "&amp;B30</f>
        <v>Jump to  Privacy and AI</v>
      </c>
      <c r="H30" s="157"/>
      <c r="I30" s="158"/>
      <c r="J30" s="137"/>
      <c r="K30" s="137" t="s">
        <v>476</v>
      </c>
      <c r="L30" s="137"/>
      <c r="M30" s="137"/>
      <c r="N30" s="137"/>
    </row>
    <row r="31" s="1" customFormat="true" ht="30" hidden="false" customHeight="true" outlineLevel="0" collapsed="false">
      <c r="A31" s="137"/>
      <c r="B31" s="139" t="s">
        <v>477</v>
      </c>
      <c r="C31" s="140"/>
      <c r="D31" s="167" t="n">
        <f aca="false">SUM(D21:D30)</f>
        <v>0</v>
      </c>
      <c r="E31" s="167" t="n">
        <f aca="false">SUM(E21:E30)</f>
        <v>0</v>
      </c>
      <c r="F31" s="168" t="str">
        <f aca="false">IFERROR($E31/$D31,"N/A")</f>
        <v>N/A</v>
      </c>
      <c r="G31" s="169"/>
      <c r="H31" s="170"/>
      <c r="I31" s="171"/>
      <c r="J31" s="51" t="s">
        <v>37</v>
      </c>
      <c r="K31" s="137"/>
      <c r="L31" s="137"/>
      <c r="M31" s="137"/>
      <c r="N31" s="137"/>
    </row>
    <row r="32" s="1" customFormat="true" ht="17.9" hidden="false" customHeight="false" outlineLevel="0" collapsed="false">
      <c r="A32" s="101"/>
      <c r="B32" s="101"/>
      <c r="C32" s="101"/>
      <c r="D32" s="101"/>
      <c r="E32" s="101"/>
      <c r="F32" s="101" t="s">
        <v>442</v>
      </c>
      <c r="G32" s="101"/>
      <c r="H32" s="101"/>
      <c r="I32" s="101"/>
      <c r="J32" s="101"/>
      <c r="K32" s="101"/>
      <c r="L32" s="101"/>
      <c r="M32" s="101"/>
      <c r="N32" s="101"/>
    </row>
    <row r="33" s="1" customFormat="true" ht="15" hidden="false" customHeight="false" outlineLevel="0" collapsed="false">
      <c r="A33" s="101"/>
      <c r="B33" s="101"/>
      <c r="C33" s="101"/>
      <c r="D33" s="101"/>
      <c r="E33" s="101"/>
      <c r="F33" s="101"/>
      <c r="G33" s="101"/>
      <c r="H33" s="101"/>
      <c r="I33" s="101"/>
      <c r="J33" s="101"/>
      <c r="K33" s="101"/>
      <c r="L33" s="101"/>
      <c r="M33" s="101"/>
      <c r="N33" s="101"/>
    </row>
    <row r="34" s="1" customFormat="true" ht="15" hidden="false" customHeight="true" outlineLevel="0" collapsed="false">
      <c r="A34" s="101"/>
      <c r="B34" s="101"/>
      <c r="C34" s="101"/>
      <c r="D34" s="101"/>
      <c r="E34" s="101"/>
      <c r="F34" s="101"/>
      <c r="G34" s="101"/>
      <c r="H34" s="101"/>
      <c r="I34" s="101"/>
      <c r="J34" s="101"/>
      <c r="K34" s="101"/>
      <c r="L34" s="101"/>
      <c r="M34" s="101"/>
      <c r="N34" s="101"/>
    </row>
    <row r="35" s="1" customFormat="true" ht="36" hidden="false" customHeight="true" outlineLevel="0" collapsed="false">
      <c r="A35" s="172" t="s">
        <v>478</v>
      </c>
      <c r="B35" s="172"/>
      <c r="C35" s="173"/>
      <c r="D35" s="172"/>
      <c r="E35" s="172"/>
      <c r="F35" s="172"/>
      <c r="G35" s="172"/>
      <c r="H35" s="172"/>
      <c r="I35" s="172"/>
      <c r="J35" s="172"/>
      <c r="K35" s="172"/>
      <c r="L35" s="5"/>
      <c r="M35" s="245"/>
      <c r="N35" s="245"/>
    </row>
    <row r="36" s="1" customFormat="true" ht="36" hidden="false" customHeight="true" outlineLevel="0" collapsed="false">
      <c r="A36" s="174" t="s">
        <v>444</v>
      </c>
      <c r="B36" s="174"/>
      <c r="C36" s="175"/>
      <c r="D36" s="174"/>
      <c r="E36" s="174"/>
      <c r="F36" s="174"/>
      <c r="G36" s="174"/>
      <c r="H36" s="174"/>
      <c r="I36" s="174"/>
      <c r="J36" s="174"/>
      <c r="K36" s="174"/>
      <c r="M36" s="60"/>
      <c r="N36" s="60"/>
    </row>
    <row r="37" s="60" customFormat="true" ht="36" hidden="false" customHeight="true" outlineLevel="0" collapsed="false">
      <c r="A37" s="17" t="s">
        <v>413</v>
      </c>
      <c r="B37" s="18"/>
      <c r="C37" s="19"/>
      <c r="D37" s="20"/>
      <c r="E37" s="20"/>
      <c r="F37" s="21"/>
      <c r="G37" s="21"/>
      <c r="H37" s="21"/>
      <c r="I37" s="21"/>
      <c r="J37" s="21"/>
      <c r="K37" s="21"/>
      <c r="L37" s="1"/>
      <c r="M37" s="1"/>
      <c r="N37" s="1"/>
    </row>
    <row r="38" s="176" customFormat="true" ht="19.5" hidden="false" customHeight="true" outlineLevel="0" collapsed="false">
      <c r="A38" s="109" t="str">
        <f aca="false">HLOOKUP($A$4,'Auto Responses'!$F$2:$F$7,2,0)&amp;""</f>
        <v>1. Upon initial review, you can check the "Non-Negotiable" box by any question to compile a report of questions that may prohibit a full review.</v>
      </c>
      <c r="B38" s="109"/>
      <c r="C38" s="109"/>
      <c r="D38" s="109"/>
      <c r="E38" s="109"/>
      <c r="F38" s="109"/>
      <c r="G38" s="109"/>
      <c r="H38" s="109"/>
      <c r="I38" s="109"/>
      <c r="J38" s="109"/>
      <c r="K38" s="23"/>
      <c r="L38" s="1"/>
      <c r="M38" s="1"/>
      <c r="N38" s="1"/>
    </row>
    <row r="39" s="1" customFormat="true" ht="19.5" hidden="false" customHeight="true" outlineLevel="0" collapsed="false">
      <c r="A39" s="109" t="str">
        <f aca="false">HLOOKUP($A$4,'Auto Responses'!$F$2:$F$7,3,0)&amp;""</f>
        <v>2. When evaluating an answer, a default importance level has been set. You can use the "Importance Override" dropdown to override the default and adjust the value of the question.</v>
      </c>
      <c r="B39" s="109"/>
      <c r="C39" s="109"/>
      <c r="D39" s="109"/>
      <c r="E39" s="109"/>
      <c r="F39" s="109"/>
      <c r="G39" s="109"/>
      <c r="H39" s="109"/>
      <c r="I39" s="109"/>
      <c r="J39" s="109"/>
      <c r="K39" s="23"/>
    </row>
    <row r="40" s="176" customFormat="true" ht="19.5" hidden="false" customHeight="true" outlineLevel="0" collapsed="false">
      <c r="A40" s="109" t="str">
        <f aca="false">HLOOKUP($A$4,'Auto Responses'!$F$2:$F$7,4,0)&amp;""</f>
        <v>3. For questions that are qualitative or for which you disagree with the preferred response, make a selection in the "Compliant Override" dropdown to adjust the question's impact on the score.</v>
      </c>
      <c r="B40" s="109"/>
      <c r="C40" s="109"/>
      <c r="D40" s="109"/>
      <c r="E40" s="109"/>
      <c r="F40" s="109"/>
      <c r="G40" s="109"/>
      <c r="H40" s="109"/>
      <c r="I40" s="109"/>
      <c r="J40" s="109"/>
      <c r="K40" s="23"/>
      <c r="L40" s="1"/>
      <c r="M40" s="1"/>
      <c r="N40" s="1"/>
    </row>
    <row r="41" s="176" customFormat="true" ht="19.5" hidden="false" customHeight="true" outlineLevel="0" collapsed="false">
      <c r="A41" s="109" t="str">
        <f aca="false">HLOOKUP($A$4,'Auto Responses'!$F$2:$F$7,5,0)&amp;""</f>
        <v>4. Each worksheet shows a report for that section. See the "Analyst Report" sheet for a full report of all sections. </v>
      </c>
      <c r="B41" s="109"/>
      <c r="C41" s="109"/>
      <c r="D41" s="109"/>
      <c r="E41" s="109"/>
      <c r="F41" s="109"/>
      <c r="G41" s="109"/>
      <c r="H41" s="109"/>
      <c r="I41" s="109"/>
      <c r="J41" s="109"/>
      <c r="K41" s="23"/>
      <c r="L41" s="1"/>
      <c r="M41" s="1"/>
      <c r="N41" s="1"/>
    </row>
    <row r="42" s="176" customFormat="true" ht="19.5" hidden="false" customHeight="true" outlineLevel="0" collapsed="false">
      <c r="A42" s="109" t="str">
        <f aca="false">HLOOKUP($A$4,'Auto Responses'!$F$2:$F$7,6,0)&amp;""</f>
        <v>5. If you are evaluating a question that appears in an earlier section, the Importance and Compliant Override cannot be changed but additional notes can be added. </v>
      </c>
      <c r="B42" s="109"/>
      <c r="C42" s="109"/>
      <c r="D42" s="109"/>
      <c r="E42" s="109"/>
      <c r="F42" s="109"/>
      <c r="G42" s="109"/>
      <c r="H42" s="109"/>
      <c r="I42" s="109"/>
      <c r="J42" s="109"/>
      <c r="K42" s="23"/>
      <c r="L42" s="1"/>
      <c r="M42" s="1"/>
      <c r="N42" s="1"/>
    </row>
    <row r="43" s="176" customFormat="true" ht="19.5" hidden="false" customHeight="true" outlineLevel="0" collapsed="false">
      <c r="A43" s="109" t="str">
        <f aca="false">HLOOKUP($A$4,'Auto Responses'!$F$2:$F$8,7,0)&amp;""</f>
        <v>For full instructions, please visit EDUCAUSE.edu/HECVAT</v>
      </c>
      <c r="B43" s="112"/>
      <c r="C43" s="112"/>
      <c r="D43" s="112"/>
      <c r="E43" s="112"/>
      <c r="F43" s="112"/>
      <c r="G43" s="112"/>
      <c r="H43" s="112"/>
      <c r="I43" s="112"/>
      <c r="J43" s="112"/>
      <c r="K43" s="23"/>
      <c r="L43" s="1"/>
      <c r="M43" s="1"/>
      <c r="N43" s="1"/>
    </row>
    <row r="44" s="176" customFormat="true" ht="41.25" hidden="false" customHeight="true" outlineLevel="0" collapsed="false">
      <c r="A44" s="177"/>
      <c r="B44" s="177"/>
      <c r="C44" s="178"/>
      <c r="D44" s="177"/>
      <c r="E44" s="177"/>
      <c r="F44" s="52" t="s">
        <v>24</v>
      </c>
      <c r="G44" s="180" t="s">
        <v>445</v>
      </c>
      <c r="H44" s="181"/>
      <c r="I44" s="181"/>
      <c r="J44" s="181"/>
      <c r="K44" s="246"/>
      <c r="L44" s="1"/>
      <c r="M44" s="60"/>
      <c r="N44" s="60"/>
    </row>
    <row r="45" s="1" customFormat="true" ht="48" hidden="false" customHeight="true" outlineLevel="0" collapsed="false">
      <c r="A45" s="182" t="s">
        <v>446</v>
      </c>
      <c r="B45" s="183" t="s">
        <v>447</v>
      </c>
      <c r="C45" s="183" t="s">
        <v>479</v>
      </c>
      <c r="D45" s="184" t="s">
        <v>22</v>
      </c>
      <c r="E45" s="185" t="s">
        <v>23</v>
      </c>
      <c r="F45" s="186" t="s">
        <v>448</v>
      </c>
      <c r="G45" s="187" t="s">
        <v>449</v>
      </c>
      <c r="H45" s="188" t="s">
        <v>450</v>
      </c>
      <c r="I45" s="188" t="s">
        <v>451</v>
      </c>
      <c r="J45" s="189" t="s">
        <v>452</v>
      </c>
      <c r="K45" s="190" t="s">
        <v>453</v>
      </c>
      <c r="M45" s="176"/>
      <c r="N45" s="176"/>
    </row>
    <row r="46" s="176" customFormat="true" ht="36.75" hidden="false" customHeight="true" outlineLevel="0" collapsed="false">
      <c r="A46" s="31" t="str">
        <f aca="false">VLOOKUP(LEFT($A47,4),'Auto Responses'!$N$4:$O$38,2,0)&amp;""</f>
        <v> General Privacy</v>
      </c>
      <c r="B46" s="42"/>
      <c r="C46" s="43"/>
      <c r="D46" s="43"/>
      <c r="E46" s="43"/>
      <c r="F46" s="192" t="s">
        <v>454</v>
      </c>
      <c r="G46" s="201" t="s">
        <v>449</v>
      </c>
      <c r="H46" s="201" t="s">
        <v>450</v>
      </c>
      <c r="I46" s="201" t="s">
        <v>451</v>
      </c>
      <c r="J46" s="201" t="s">
        <v>452</v>
      </c>
      <c r="K46" s="43"/>
      <c r="L46" s="1"/>
      <c r="M46" s="1"/>
      <c r="N46" s="1"/>
    </row>
    <row r="47" s="176" customFormat="true" ht="48" hidden="false" customHeight="true" outlineLevel="0" collapsed="false">
      <c r="A47" s="35" t="s">
        <v>340</v>
      </c>
      <c r="B47" s="45" t="str">
        <f aca="false">VLOOKUP($A47,Questions!$A$2:$X$333,2,0)</f>
        <v>Does your solution process FERPA-related data?</v>
      </c>
      <c r="C47" s="199" t="str">
        <f aca="false">VLOOKUP($A47,Privacy!$A$13:$E$97,3,0)&amp;""</f>
        <v>No</v>
      </c>
      <c r="D47" s="68" t="str">
        <f aca="false">IF(LEFT(VLOOKUP($A47,Privacy!$A$13:$E$97,5,0),21)='Auto Responses'!$A$32,'Auto Responses'!$A$33,VLOOKUP($A47,Privacy!$A$13:$E$97,4,0))&amp;""</f>
        <v/>
      </c>
      <c r="E47" s="202" t="str">
        <f aca="false">VLOOKUP($A47,Privacy!$A$13:$E$97,5,0)&amp;""</f>
        <v>FERPA-related data includes any data maintained by (or on behalf of) the institution that is directly related to an identifiable student.</v>
      </c>
      <c r="F47" s="209"/>
      <c r="G47" s="197" t="str">
        <f aca="false">VLOOKUP($A47,Questions!$A$2:$X$333,21,0)&amp;""</f>
        <v/>
      </c>
      <c r="H47" s="198"/>
      <c r="I47" s="199" t="str">
        <f aca="false">VLOOKUP($A47,Questions!$A$2:$X$333,23,0)&amp;""</f>
        <v/>
      </c>
      <c r="J47" s="198"/>
      <c r="K47" s="200" t="b">
        <f aca="false">FALSE()</f>
        <v>0</v>
      </c>
      <c r="L47" s="1"/>
    </row>
    <row r="48" s="176" customFormat="true" ht="48" hidden="false" customHeight="true" outlineLevel="0" collapsed="false">
      <c r="A48" s="35" t="s">
        <v>341</v>
      </c>
      <c r="B48" s="45" t="str">
        <f aca="false">VLOOKUP($A48,Questions!$A$2:$X$333,2,0)</f>
        <v>Does your solution process GDPR-related or PIPL-related data?</v>
      </c>
      <c r="C48" s="199" t="str">
        <f aca="false">VLOOKUP($A48,Privacy!$A$13:$E$97,3,0)&amp;""</f>
        <v>No</v>
      </c>
      <c r="D48" s="68" t="str">
        <f aca="false">IF(LEFT(VLOOKUP($A48,Privacy!$A$13:$E$97,5,0),21)='Auto Responses'!$A$32,'Auto Responses'!$A$33,VLOOKUP($A48,Privacy!$A$13:$E$97,4,0))&amp;""</f>
        <v>QGIS allow user to process data of any kind, but they are responsible of their data processing environment and constraints. 
QGIS.org website allows to push plugin extensions. We collect no user personal data and trafic analysis is fully anonymous using matomo, a GDPR compliant trafic analysis solution. ? </v>
      </c>
      <c r="E48" s="202" t="str">
        <f aca="false">VLOOKUP($A48,Privacy!$A$13:$E$97,5,0)&amp;""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48" s="209"/>
      <c r="G48" s="197" t="str">
        <f aca="false">VLOOKUP($A48,Questions!$A$2:$X$333,21,0)&amp;""</f>
        <v/>
      </c>
      <c r="H48" s="198"/>
      <c r="I48" s="199" t="str">
        <f aca="false">VLOOKUP($A48,Questions!$A$2:$X$333,23,0)&amp;""</f>
        <v/>
      </c>
      <c r="J48" s="198"/>
      <c r="K48" s="200" t="b">
        <f aca="false">FALSE()</f>
        <v>0</v>
      </c>
      <c r="L48" s="1"/>
    </row>
    <row r="49" s="176" customFormat="true" ht="48" hidden="false" customHeight="true" outlineLevel="0" collapsed="false">
      <c r="A49" s="35" t="s">
        <v>343</v>
      </c>
      <c r="B49" s="45" t="str">
        <f aca="false">VLOOKUP($A49,Questions!$A$2:$X$333,2,0)</f>
        <v>Does your solution process personal data regulated by state law(s) (e.g., CCPA)?</v>
      </c>
      <c r="C49" s="199" t="str">
        <f aca="false">VLOOKUP($A49,Privacy!$A$13:$E$97,3,0)&amp;""</f>
        <v>No</v>
      </c>
      <c r="D49" s="68" t="str">
        <f aca="false">IF(LEFT(VLOOKUP($A49,Privacy!$A$13:$E$97,5,0),21)='Auto Responses'!$A$32,'Auto Responses'!$A$33,VLOOKUP($A49,Privacy!$A$13:$E$97,4,0))&amp;""</f>
        <v/>
      </c>
      <c r="E49" s="202" t="str">
        <f aca="false">VLOOKUP($A49,Privacy!$A$13:$E$97,5,0)&amp;""</f>
        <v/>
      </c>
      <c r="F49" s="209"/>
      <c r="G49" s="197" t="str">
        <f aca="false">VLOOKUP($A49,Questions!$A$2:$X$333,21,0)&amp;""</f>
        <v/>
      </c>
      <c r="H49" s="198"/>
      <c r="I49" s="199" t="str">
        <f aca="false">VLOOKUP($A49,Questions!$A$2:$X$333,23,0)&amp;""</f>
        <v/>
      </c>
      <c r="J49" s="198"/>
      <c r="K49" s="200" t="b">
        <f aca="false">FALSE()</f>
        <v>0</v>
      </c>
      <c r="L49" s="1"/>
    </row>
    <row r="50" s="1" customFormat="true" ht="48" hidden="false" customHeight="true" outlineLevel="0" collapsed="false">
      <c r="A50" s="35" t="s">
        <v>344</v>
      </c>
      <c r="B50" s="45" t="str">
        <f aca="false">VLOOKUP($A50,Questions!$A$2:$X$333,2,0)</f>
        <v>Does your solution process user-provided data that may contain regulated information?</v>
      </c>
      <c r="C50" s="199" t="str">
        <f aca="false">VLOOKUP($A50,Privacy!$A$13:$E$97,3,0)&amp;""</f>
        <v>no</v>
      </c>
      <c r="D50" s="68" t="str">
        <f aca="false">IF(LEFT(VLOOKUP($A50,Privacy!$A$13:$E$97,5,0),21)='Auto Responses'!$A$32,'Auto Responses'!$A$33,VLOOKUP($A50,Privacy!$A$13:$E$97,4,0))&amp;""</f>
        <v>any kind of data can be processed in a GIS</v>
      </c>
      <c r="E50" s="202" t="str">
        <f aca="false">VLOOKUP($A50,Privacy!$A$13:$E$97,5,0)&amp;""</f>
        <v/>
      </c>
      <c r="F50" s="209"/>
      <c r="G50" s="197" t="str">
        <f aca="false">VLOOKUP($A50,Questions!$A$2:$X$333,21,0)&amp;""</f>
        <v/>
      </c>
      <c r="H50" s="198"/>
      <c r="I50" s="199" t="str">
        <f aca="false">VLOOKUP($A50,Questions!$A$2:$X$333,23,0)&amp;""</f>
        <v/>
      </c>
      <c r="J50" s="198"/>
      <c r="K50" s="200" t="b">
        <f aca="false">FALSE()</f>
        <v>0</v>
      </c>
      <c r="M50" s="176"/>
      <c r="N50" s="176"/>
    </row>
    <row r="51" s="176" customFormat="true" ht="48" hidden="false" customHeight="true" outlineLevel="0" collapsed="false">
      <c r="A51" s="35" t="s">
        <v>346</v>
      </c>
      <c r="B51" s="45" t="str">
        <f aca="false">VLOOKUP($A51,Questions!$A$2:$X$333,2,0)</f>
        <v>Web Link to Product/Service Privacy Notice</v>
      </c>
      <c r="C51" s="203" t="str">
        <f aca="false">VLOOKUP($A51,Privacy!$A$13:$E$97,3,0)&amp;""</f>
        <v>NA</v>
      </c>
      <c r="D51" s="68" t="str">
        <f aca="false">IF(LEFT(VLOOKUP($A51,Privacy!$A$13:$E$97,5,0),21)='Auto Responses'!$A$32,'Auto Responses'!$A$33,VLOOKUP($A51,Privacy!$A$13:$E$97,4,0))&amp;""</f>
        <v/>
      </c>
      <c r="E51" s="202" t="str">
        <f aca="false">VLOOKUP($A51,Privacy!$A$13:$E$97,5,0)&amp;""</f>
        <v>If multiple notices are implicated, provide all that apply. If any other documents are incorporated by reference, provide them as well.</v>
      </c>
      <c r="F51" s="209"/>
      <c r="G51" s="197" t="str">
        <f aca="false">VLOOKUP($A51,Questions!$A$2:$X$333,21,0)&amp;""</f>
        <v>Not scored</v>
      </c>
      <c r="H51" s="198"/>
      <c r="I51" s="199" t="str">
        <f aca="false">VLOOKUP($A51,Questions!$A$2:$X$333,23,0)&amp;""</f>
        <v/>
      </c>
      <c r="J51" s="198"/>
      <c r="K51" s="200" t="b">
        <f aca="false">FALSE()</f>
        <v>0</v>
      </c>
      <c r="L51" s="1"/>
    </row>
    <row r="52" s="176" customFormat="true" ht="36.75" hidden="false" customHeight="true" outlineLevel="0" collapsed="false">
      <c r="A52" s="31" t="str">
        <f aca="false">VLOOKUP(LEFT($A53,4),'Auto Responses'!$N$4:$O$38,2,0)&amp;""</f>
        <v> Privacy-Specific Company Details</v>
      </c>
      <c r="B52" s="42"/>
      <c r="C52" s="43"/>
      <c r="D52" s="43"/>
      <c r="E52" s="204"/>
      <c r="F52" s="192" t="s">
        <v>454</v>
      </c>
      <c r="G52" s="201" t="s">
        <v>449</v>
      </c>
      <c r="H52" s="201" t="s">
        <v>450</v>
      </c>
      <c r="I52" s="201" t="s">
        <v>451</v>
      </c>
      <c r="J52" s="201" t="s">
        <v>452</v>
      </c>
      <c r="K52" s="43"/>
      <c r="L52" s="1"/>
      <c r="M52" s="1"/>
      <c r="N52" s="1"/>
    </row>
    <row r="53" s="176" customFormat="true" ht="79.5" hidden="false" customHeight="true" outlineLevel="0" collapsed="false">
      <c r="A53" s="35" t="s">
        <v>347</v>
      </c>
      <c r="B53" s="45" t="str">
        <f aca="false">VLOOKUP($A53,Questions!$A$2:$X$333,2,0)</f>
        <v>Have you had a personal data breach in the past three years that involved reporting to a governmental agency, notice to individuals (including voluntary notice), or notice to another organization or institution?*</v>
      </c>
      <c r="C53" s="199" t="str">
        <f aca="false">VLOOKUP($A53,Privacy!$A$13:$E$97,3,0)&amp;""</f>
        <v>no</v>
      </c>
      <c r="D53" s="68" t="str">
        <f aca="false">IF(LEFT(VLOOKUP($A53,Privacy!$A$13:$E$97,5,0),21)='Auto Responses'!$A$32,'Auto Responses'!$A$33,VLOOKUP($A53,Privacy!$A$13:$E$97,4,0))&amp;""</f>
        <v/>
      </c>
      <c r="E53" s="206" t="str">
        <f aca="false">VLOOKUP($A53,Privacy!$A$13:$E$97,5,0)&amp;""</f>
        <v/>
      </c>
      <c r="F53" s="209"/>
      <c r="G53" s="197" t="str">
        <f aca="false">VLOOKUP($A53,Questions!$A$2:$X$333,21,0)&amp;""</f>
        <v>No</v>
      </c>
      <c r="H53" s="198"/>
      <c r="I53" s="199" t="str">
        <f aca="false">VLOOKUP($A53,Questions!$A$2:$X$333,23,0)&amp;""</f>
        <v>Critical Importance</v>
      </c>
      <c r="J53" s="198"/>
      <c r="K53" s="200" t="b">
        <f aca="false">FALSE()</f>
        <v>0</v>
      </c>
      <c r="L53" s="1"/>
    </row>
    <row r="54" s="1" customFormat="true" ht="48" hidden="false" customHeight="true" outlineLevel="0" collapsed="false">
      <c r="A54" s="35" t="s">
        <v>348</v>
      </c>
      <c r="B54" s="45" t="str">
        <f aca="false">VLOOKUP($A54,Questions!$A$2:$X$333,2,0)</f>
        <v>Use this area to share information about your privacy practices that will assist those who are assessing your company data privacy program.*</v>
      </c>
      <c r="C54" s="203" t="str">
        <f aca="false">VLOOKUP($A54,Privacy!$A$13:$E$97,3,0)&amp;""</f>
        <v>QGIS does not store any data related to privacy. We even exclude collecting any telemetry to respect private life</v>
      </c>
      <c r="D54" s="68" t="str">
        <f aca="false">IF(LEFT(VLOOKUP($A54,Privacy!$A$13:$E$97,5,0),21)='Auto Responses'!$A$32,'Auto Responses'!$A$33,VLOOKUP($A54,Privacy!$A$13:$E$97,4,0))&amp;""</f>
        <v/>
      </c>
      <c r="E54" s="206" t="str">
        <f aca="false">VLOOKUP($A54,Privacy!$A$13:$E$97,5,0)&amp;""</f>
        <v>Share any additional details that would help data privacy analysts assess your solution.</v>
      </c>
      <c r="F54" s="209"/>
      <c r="G54" s="197" t="str">
        <f aca="false">VLOOKUP($A54,Questions!$A$2:$X$333,21,0)&amp;""</f>
        <v>Not scored</v>
      </c>
      <c r="H54" s="198"/>
      <c r="I54" s="199" t="str">
        <f aca="false">VLOOKUP($A54,Questions!$A$2:$X$333,23,0)&amp;""</f>
        <v/>
      </c>
      <c r="J54" s="198"/>
      <c r="K54" s="200" t="b">
        <f aca="false">FALSE()</f>
        <v>0</v>
      </c>
      <c r="M54" s="176"/>
      <c r="N54" s="176"/>
    </row>
    <row r="55" s="176" customFormat="true" ht="48" hidden="false" customHeight="true" outlineLevel="0" collapsed="false">
      <c r="A55" s="35" t="s">
        <v>350</v>
      </c>
      <c r="B55" s="45" t="str">
        <f aca="false">VLOOKUP($A55,Questions!$A$2:$X$333,2,0)</f>
        <v>Have you had any violations of your internal privacy policies or violations of applicable privacy law in the past 36 months?</v>
      </c>
      <c r="C55" s="199" t="str">
        <f aca="false">VLOOKUP($A55,Privacy!$A$13:$E$97,3,0)&amp;""</f>
        <v>no</v>
      </c>
      <c r="D55" s="68" t="str">
        <f aca="false">IF(LEFT(VLOOKUP($A55,Privacy!$A$13:$E$97,5,0),21)='Auto Responses'!$A$32,'Auto Responses'!$A$33,VLOOKUP($A55,Privacy!$A$13:$E$97,4,0))&amp;""</f>
        <v/>
      </c>
      <c r="E55" s="206" t="str">
        <f aca="false">VLOOKUP($A55,Privacy!$A$13:$E$97,5,0)&amp;""</f>
        <v/>
      </c>
      <c r="F55" s="209"/>
      <c r="G55" s="197" t="str">
        <f aca="false">VLOOKUP($A55,Questions!$A$2:$X$333,21,0)&amp;""</f>
        <v>No</v>
      </c>
      <c r="H55" s="198"/>
      <c r="I55" s="199" t="str">
        <f aca="false">VLOOKUP($A55,Questions!$A$2:$X$333,23,0)&amp;""</f>
        <v>Minor Importance</v>
      </c>
      <c r="J55" s="198"/>
      <c r="K55" s="200" t="b">
        <f aca="false">FALSE()</f>
        <v>0</v>
      </c>
      <c r="L55" s="1"/>
    </row>
    <row r="56" s="176" customFormat="true" ht="48" hidden="false" customHeight="true" outlineLevel="0" collapsed="false">
      <c r="A56" s="35" t="s">
        <v>351</v>
      </c>
      <c r="B56" s="45" t="str">
        <f aca="false">VLOOKUP($A56,Questions!$A$2:$X$333,2,0)</f>
        <v>Do you have a dedicated data privacy staff or office?</v>
      </c>
      <c r="C56" s="199" t="str">
        <f aca="false">VLOOKUP($A56,Privacy!$A$13:$E$97,3,0)&amp;""</f>
        <v>no</v>
      </c>
      <c r="D56" s="68" t="str">
        <f aca="false">IF(LEFT(VLOOKUP($A56,Privacy!$A$13:$E$97,5,0),21)='Auto Responses'!$A$32,'Auto Responses'!$A$33,VLOOKUP($A56,Privacy!$A$13:$E$97,4,0))&amp;""</f>
        <v/>
      </c>
      <c r="E56" s="206" t="str">
        <f aca="false">VLOOKUP($A56,Privacy!$A$13:$E$97,5,0)&amp;""</f>
        <v>Describe who is responsible for data privacy, including department, size, talents, resources, etc.</v>
      </c>
      <c r="F56" s="209"/>
      <c r="G56" s="197" t="str">
        <f aca="false">VLOOKUP($A56,Questions!$A$2:$X$333,21,0)&amp;""</f>
        <v>Yes</v>
      </c>
      <c r="H56" s="198"/>
      <c r="I56" s="199" t="str">
        <f aca="false">VLOOKUP($A56,Questions!$A$2:$X$333,23,0)&amp;""</f>
        <v>Minor Importance</v>
      </c>
      <c r="J56" s="198"/>
      <c r="K56" s="200" t="b">
        <f aca="false">FALSE()</f>
        <v>0</v>
      </c>
      <c r="L56" s="1"/>
    </row>
    <row r="57" s="1" customFormat="true" ht="36.75" hidden="false" customHeight="true" outlineLevel="0" collapsed="false">
      <c r="A57" s="31" t="str">
        <f aca="false">VLOOKUP(LEFT($A58,4),'Auto Responses'!$N$4:$O$38,2,0)&amp;""</f>
        <v> Privacy-Specific Documentation</v>
      </c>
      <c r="B57" s="42"/>
      <c r="C57" s="43"/>
      <c r="D57" s="43"/>
      <c r="E57" s="204"/>
      <c r="F57" s="192" t="s">
        <v>454</v>
      </c>
      <c r="G57" s="201" t="s">
        <v>449</v>
      </c>
      <c r="H57" s="201" t="s">
        <v>450</v>
      </c>
      <c r="I57" s="201" t="s">
        <v>451</v>
      </c>
      <c r="J57" s="201" t="s">
        <v>452</v>
      </c>
      <c r="K57" s="43"/>
    </row>
    <row r="58" s="176" customFormat="true" ht="48" hidden="false" customHeight="true" outlineLevel="0" collapsed="false">
      <c r="A58" s="35" t="s">
        <v>352</v>
      </c>
      <c r="B58" s="45" t="str">
        <f aca="false">VLOOKUP($A58,Questions!$A$2:$X$333,2,0)</f>
        <v>If you have completed a SOC 2 audit, does it include the Privacy Trust Service Principle?</v>
      </c>
      <c r="C58" s="199" t="str">
        <f aca="false">VLOOKUP($A58,Privacy!$A$13:$E$97,3,0)&amp;""</f>
        <v>no</v>
      </c>
      <c r="D58" s="68" t="str">
        <f aca="false">IF(LEFT(VLOOKUP($A58,Privacy!$A$13:$E$97,5,0),21)='Auto Responses'!$A$32,'Auto Responses'!$A$33,VLOOKUP($A58,Privacy!$A$13:$E$97,4,0))&amp;""</f>
        <v>NA</v>
      </c>
      <c r="E58" s="206" t="str">
        <f aca="false">VLOOKUP($A58,Privacy!$A$13:$E$97,5,0)&amp;""</f>
        <v>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v>
      </c>
      <c r="F58" s="209"/>
      <c r="G58" s="197" t="str">
        <f aca="false">VLOOKUP($A58,Questions!$A$2:$X$333,21,0)&amp;""</f>
        <v>Yes</v>
      </c>
      <c r="H58" s="198"/>
      <c r="I58" s="199" t="str">
        <f aca="false">VLOOKUP($A58,Questions!$A$2:$X$333,23,0)&amp;""</f>
        <v/>
      </c>
      <c r="J58" s="198"/>
      <c r="K58" s="200" t="b">
        <f aca="false">FALSE()</f>
        <v>0</v>
      </c>
      <c r="L58" s="1"/>
    </row>
    <row r="59" s="176" customFormat="true" ht="48" hidden="false" customHeight="true" outlineLevel="0" collapsed="false">
      <c r="A59" s="35" t="s">
        <v>353</v>
      </c>
      <c r="B59" s="45" t="str">
        <f aca="false">VLOOKUP($A59,Questions!$A$2:$X$333,2,0)</f>
        <v>Do you conform with a specific industry-standard privacy framework (e.g., NIST Privacy Framework, GDPR, ISO 27701)?</v>
      </c>
      <c r="C59" s="199" t="str">
        <f aca="false">VLOOKUP($A59,Privacy!$A$13:$E$97,3,0)&amp;""</f>
        <v>No</v>
      </c>
      <c r="D59" s="68" t="str">
        <f aca="false">IF(LEFT(VLOOKUP($A59,Privacy!$A$13:$E$97,5,0),21)='Auto Responses'!$A$32,'Auto Responses'!$A$33,VLOOKUP($A59,Privacy!$A$13:$E$97,4,0))&amp;""</f>
        <v>NA</v>
      </c>
      <c r="E59" s="206" t="str">
        <f aca="false">VLOOKUP($A59,Privacy!$A$13:$E$97,5,0)&amp;""</f>
        <v>Please provide any plans to conform with one or more of the industry-standard frameworks, including anticipated timelines, and indicate which framework(s) will be used.</v>
      </c>
      <c r="F59" s="209"/>
      <c r="G59" s="197" t="str">
        <f aca="false">VLOOKUP($A59,Questions!$A$2:$X$333,21,0)&amp;""</f>
        <v>Yes</v>
      </c>
      <c r="H59" s="198"/>
      <c r="I59" s="199" t="str">
        <f aca="false">VLOOKUP($A59,Questions!$A$2:$X$333,23,0)&amp;""</f>
        <v/>
      </c>
      <c r="J59" s="198"/>
      <c r="K59" s="200" t="b">
        <f aca="false">FALSE()</f>
        <v>0</v>
      </c>
      <c r="L59" s="1"/>
    </row>
    <row r="60" s="1" customFormat="true" ht="48" hidden="false" customHeight="true" outlineLevel="0" collapsed="false">
      <c r="A60" s="35" t="s">
        <v>354</v>
      </c>
      <c r="B60" s="45" t="str">
        <f aca="false">VLOOKUP($A60,Questions!$A$2:$X$333,2,0)</f>
        <v>Does your employee onboarding and offboarding policy include training of employees on information security and data privacy?</v>
      </c>
      <c r="C60" s="199" t="str">
        <f aca="false">VLOOKUP($A60,Privacy!$A$13:$E$97,3,0)&amp;""</f>
        <v>NO</v>
      </c>
      <c r="D60" s="68" t="str">
        <f aca="false">IF(LEFT(VLOOKUP($A60,Privacy!$A$13:$E$97,5,0),21)='Auto Responses'!$A$32,'Auto Responses'!$A$33,VLOOKUP($A60,Privacy!$A$13:$E$97,4,0))&amp;""</f>
        <v>NA</v>
      </c>
      <c r="E60" s="206" t="str">
        <f aca="false">VLOOKUP($A60,Privacy!$A$13:$E$97,5,0)&amp;""</f>
        <v>Please provide any plans to develop and implement appropriate employee training as part of onboarding and offboarding.
If no plans currently exist, please provide information on any compensating measures your organization takes to address this issue.</v>
      </c>
      <c r="F60" s="209"/>
      <c r="G60" s="197" t="str">
        <f aca="false">VLOOKUP($A60,Questions!$A$2:$X$333,21,0)&amp;""</f>
        <v>Yes</v>
      </c>
      <c r="H60" s="198"/>
      <c r="I60" s="199" t="str">
        <f aca="false">VLOOKUP($A60,Questions!$A$2:$X$333,23,0)&amp;""</f>
        <v>Standard Importance</v>
      </c>
      <c r="J60" s="198"/>
      <c r="K60" s="200" t="b">
        <f aca="false">FALSE()</f>
        <v>0</v>
      </c>
      <c r="M60" s="176"/>
      <c r="N60" s="176"/>
    </row>
    <row r="61" s="176" customFormat="true" ht="36.75" hidden="false" customHeight="true" outlineLevel="0" collapsed="false">
      <c r="A61" s="31" t="str">
        <f aca="false">VLOOKUP(LEFT($A62,4),'Auto Responses'!$N$4:$O$38,2,0)&amp;""</f>
        <v> Privacy of Third Parties</v>
      </c>
      <c r="B61" s="42"/>
      <c r="C61" s="43"/>
      <c r="D61" s="43"/>
      <c r="E61" s="204"/>
      <c r="F61" s="192" t="s">
        <v>454</v>
      </c>
      <c r="G61" s="201" t="s">
        <v>449</v>
      </c>
      <c r="H61" s="201" t="s">
        <v>450</v>
      </c>
      <c r="I61" s="201" t="s">
        <v>451</v>
      </c>
      <c r="J61" s="201" t="s">
        <v>452</v>
      </c>
      <c r="K61" s="43"/>
      <c r="L61" s="1"/>
      <c r="M61" s="1"/>
      <c r="N61" s="1"/>
    </row>
    <row r="62" s="176" customFormat="true" ht="48" hidden="false" customHeight="true" outlineLevel="0" collapsed="false">
      <c r="A62" s="35" t="s">
        <v>355</v>
      </c>
      <c r="B62" s="45" t="str">
        <f aca="false">VLOOKUP($A62,Questions!$A$2:$X$333,2,0)</f>
        <v>Do you have contractual agreements with third parties that require them to maintain standards and to comply with all regulatory requirements?*</v>
      </c>
      <c r="C62" s="199" t="str">
        <f aca="false">VLOOKUP($A62,Privacy!$A$13:$E$97,3,0)&amp;""</f>
        <v>no</v>
      </c>
      <c r="D62" s="68" t="str">
        <f aca="false">IF(LEFT(VLOOKUP($A62,Privacy!$A$13:$E$97,5,0),21)='Auto Responses'!$A$32,'Auto Responses'!$A$33,VLOOKUP($A62,Privacy!$A$13:$E$97,4,0))&amp;""</f>
        <v>NA</v>
      </c>
      <c r="E62" s="206" t="str">
        <f aca="false">VLOOKUP($A62,Privacy!$A$13:$E$97,5,0)&amp;""</f>
        <v>State your plans to ensure appropriate language is included in new and renewed contracts. State how your organization ensures that third parties maintain standards and comply with all regulatory requirements without contractual agreements to do so.</v>
      </c>
      <c r="F62" s="209"/>
      <c r="G62" s="197" t="str">
        <f aca="false">VLOOKUP($A62,Questions!$A$2:$X$333,21,0)&amp;""</f>
        <v>Yes</v>
      </c>
      <c r="H62" s="198"/>
      <c r="I62" s="199" t="str">
        <f aca="false">VLOOKUP($A62,Questions!$A$2:$X$333,23,0)&amp;""</f>
        <v>Critical Importance</v>
      </c>
      <c r="J62" s="198"/>
      <c r="K62" s="200" t="b">
        <f aca="false">FALSE()</f>
        <v>0</v>
      </c>
      <c r="L62" s="1"/>
    </row>
    <row r="63" s="176" customFormat="true" ht="95.25" hidden="false" customHeight="true" outlineLevel="0" collapsed="false">
      <c r="A63" s="35" t="s">
        <v>356</v>
      </c>
      <c r="B63" s="45" t="str">
        <f aca="false">VLOOKUP($A63,Questions!$A$2:$X$333,2,0)</f>
        <v>Do you perform privacy impact assesments of third parties that collect, process, or have access to personal data to ensure they meet industry and regulatory standards and to mitigate harmful, unethical, or discriminatory impacts on data subjects?</v>
      </c>
      <c r="C63" s="199" t="str">
        <f aca="false">VLOOKUP($A63,Privacy!$A$13:$E$97,3,0)&amp;""</f>
        <v>no</v>
      </c>
      <c r="D63" s="68" t="str">
        <f aca="false">IF(LEFT(VLOOKUP($A63,Privacy!$A$13:$E$97,5,0),21)='Auto Responses'!$A$32,'Auto Responses'!$A$33,VLOOKUP($A63,Privacy!$A$13:$E$97,4,0))&amp;""</f>
        <v>NA</v>
      </c>
      <c r="E63" s="206" t="str">
        <f aca="false">VLOOKUP($A63,Privacy!$A$13:$E$97,5,0)&amp;""</f>
        <v>State your plans to perform data privacy assessments of third parties, including anticipated timelines and remediations if existing third parties cannot maintain or ensure privacy and security of client data entrusted to your organization.</v>
      </c>
      <c r="F63" s="209"/>
      <c r="G63" s="197" t="str">
        <f aca="false">VLOOKUP($A63,Questions!$A$2:$X$333,21,0)&amp;""</f>
        <v>Yes</v>
      </c>
      <c r="H63" s="198"/>
      <c r="I63" s="199" t="str">
        <f aca="false">VLOOKUP($A63,Questions!$A$2:$X$333,23,0)&amp;""</f>
        <v>Minor Importance</v>
      </c>
      <c r="J63" s="198"/>
      <c r="K63" s="200" t="b">
        <f aca="false">FALSE()</f>
        <v>0</v>
      </c>
      <c r="L63" s="1"/>
    </row>
    <row r="64" s="176" customFormat="true" ht="36.75" hidden="false" customHeight="true" outlineLevel="0" collapsed="false">
      <c r="A64" s="31" t="str">
        <f aca="false">VLOOKUP(LEFT($A65,4),'Auto Responses'!$N$4:$O$38,2,0)&amp;""</f>
        <v> Privacy Change Management</v>
      </c>
      <c r="B64" s="42"/>
      <c r="C64" s="43"/>
      <c r="D64" s="43"/>
      <c r="E64" s="204"/>
      <c r="F64" s="192" t="s">
        <v>454</v>
      </c>
      <c r="G64" s="201" t="s">
        <v>449</v>
      </c>
      <c r="H64" s="201" t="s">
        <v>450</v>
      </c>
      <c r="I64" s="201" t="s">
        <v>451</v>
      </c>
      <c r="J64" s="201" t="s">
        <v>452</v>
      </c>
      <c r="K64" s="43"/>
      <c r="L64" s="1"/>
      <c r="M64" s="1"/>
      <c r="N64" s="1"/>
    </row>
    <row r="65" s="176" customFormat="true" ht="48" hidden="false" customHeight="true" outlineLevel="0" collapsed="false">
      <c r="A65" s="35" t="s">
        <v>357</v>
      </c>
      <c r="B65" s="45" t="str">
        <f aca="false">VLOOKUP($A65,Questions!$A$2:$X$333,2,0)</f>
        <v>Does your change management process include privacy review and approval?</v>
      </c>
      <c r="C65" s="199" t="str">
        <f aca="false">VLOOKUP($A65,Privacy!$A$13:$E$97,3,0)&amp;""</f>
        <v>no</v>
      </c>
      <c r="D65" s="68" t="str">
        <f aca="false">IF(LEFT(VLOOKUP($A65,Privacy!$A$13:$E$97,5,0),21)='Auto Responses'!$A$32,'Auto Responses'!$A$33,VLOOKUP($A65,Privacy!$A$13:$E$97,4,0))&amp;""</f>
        <v>NA</v>
      </c>
      <c r="E65" s="206" t="str">
        <f aca="false">VLOOKUP($A65,Privacy!$A$13:$E$97,5,0)&amp;""</f>
        <v>Describe any plans to implement.</v>
      </c>
      <c r="F65" s="209"/>
      <c r="G65" s="197" t="str">
        <f aca="false">VLOOKUP($A65,Questions!$A$2:$X$333,21,0)&amp;""</f>
        <v>Yes</v>
      </c>
      <c r="H65" s="198"/>
      <c r="I65" s="199" t="str">
        <f aca="false">VLOOKUP($A65,Questions!$A$2:$X$333,23,0)&amp;""</f>
        <v/>
      </c>
      <c r="J65" s="198"/>
      <c r="K65" s="200" t="b">
        <f aca="false">FALSE()</f>
        <v>0</v>
      </c>
      <c r="L65" s="1"/>
    </row>
    <row r="66" s="176" customFormat="true" ht="48" hidden="false" customHeight="true" outlineLevel="0" collapsed="false">
      <c r="A66" s="35" t="s">
        <v>358</v>
      </c>
      <c r="B66" s="45" t="str">
        <f aca="false">VLOOKUP($A66,Questions!$A$2:$X$333,2,0)</f>
        <v>Do you have policy and procedure, currently implemented, guiding how privacy risks are mitigated until they can be resolved?</v>
      </c>
      <c r="C66" s="199" t="str">
        <f aca="false">VLOOKUP($A66,Privacy!$A$13:$E$97,3,0)&amp;""</f>
        <v>NO</v>
      </c>
      <c r="D66" s="68" t="str">
        <f aca="false">IF(LEFT(VLOOKUP($A66,Privacy!$A$13:$E$97,5,0),21)='Auto Responses'!$A$32,'Auto Responses'!$A$33,VLOOKUP($A66,Privacy!$A$13:$E$97,4,0))&amp;""</f>
        <v>NA</v>
      </c>
      <c r="E66" s="206" t="str">
        <f aca="false">VLOOKUP($A66,Privacy!$A$13:$E$97,5,0)&amp;""</f>
        <v>Describe any plans to implement.</v>
      </c>
      <c r="F66" s="209"/>
      <c r="G66" s="197" t="str">
        <f aca="false">VLOOKUP($A66,Questions!$A$2:$X$333,21,0)&amp;""</f>
        <v>Yes</v>
      </c>
      <c r="H66" s="198"/>
      <c r="I66" s="199" t="str">
        <f aca="false">VLOOKUP($A66,Questions!$A$2:$X$333,23,0)&amp;""</f>
        <v>Minor Importance</v>
      </c>
      <c r="J66" s="198"/>
      <c r="K66" s="200" t="b">
        <f aca="false">FALSE()</f>
        <v>0</v>
      </c>
      <c r="L66" s="1"/>
    </row>
    <row r="67" s="176" customFormat="true" ht="36.75" hidden="false" customHeight="true" outlineLevel="0" collapsed="false">
      <c r="A67" s="31" t="str">
        <f aca="false">VLOOKUP(LEFT($A68,4),'Auto Responses'!$N$4:$O$38,2,0)&amp;""</f>
        <v> Privacy of Sensitive Data</v>
      </c>
      <c r="B67" s="42"/>
      <c r="C67" s="43"/>
      <c r="D67" s="43"/>
      <c r="E67" s="204"/>
      <c r="F67" s="192" t="s">
        <v>454</v>
      </c>
      <c r="G67" s="201" t="s">
        <v>449</v>
      </c>
      <c r="H67" s="201" t="s">
        <v>450</v>
      </c>
      <c r="I67" s="201" t="s">
        <v>451</v>
      </c>
      <c r="J67" s="201" t="s">
        <v>452</v>
      </c>
      <c r="K67" s="43"/>
      <c r="L67" s="1"/>
      <c r="M67" s="1"/>
      <c r="N67" s="1"/>
    </row>
    <row r="68" s="176" customFormat="true" ht="48" hidden="false" customHeight="true" outlineLevel="0" collapsed="false">
      <c r="A68" s="35" t="s">
        <v>359</v>
      </c>
      <c r="B68" s="45" t="str">
        <f aca="false">VLOOKUP($A68,Questions!$A$2:$X$333,2,0)</f>
        <v>Do you collect, process, or store demographic information?*</v>
      </c>
      <c r="C68" s="199" t="str">
        <f aca="false">VLOOKUP($A68,Privacy!$A$13:$E$97,3,0)&amp;""</f>
        <v>No</v>
      </c>
      <c r="D68" s="68" t="str">
        <f aca="false">IF(LEFT(VLOOKUP($A68,Privacy!$A$13:$E$97,5,0),21)='Auto Responses'!$A$32,'Auto Responses'!$A$33,VLOOKUP($A68,Privacy!$A$13:$E$97,4,0))&amp;""</f>
        <v/>
      </c>
      <c r="E68" s="206" t="str">
        <f aca="false">VLOOKUP($A68,Privacy!$A$13:$E$97,5,0)&amp;""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68" s="209"/>
      <c r="G68" s="197" t="str">
        <f aca="false">VLOOKUP($A68,Questions!$A$2:$X$333,21,0)&amp;""</f>
        <v>No</v>
      </c>
      <c r="H68" s="198"/>
      <c r="I68" s="199" t="str">
        <f aca="false">VLOOKUP($A68,Questions!$A$2:$X$333,23,0)&amp;""</f>
        <v>Critical Importance</v>
      </c>
      <c r="J68" s="198"/>
      <c r="K68" s="200" t="b">
        <f aca="false">FALSE()</f>
        <v>0</v>
      </c>
      <c r="L68" s="1"/>
    </row>
    <row r="69" s="1" customFormat="true" ht="48" hidden="false" customHeight="true" outlineLevel="0" collapsed="false">
      <c r="A69" s="35" t="s">
        <v>360</v>
      </c>
      <c r="B69" s="45" t="str">
        <f aca="false">VLOOKUP($A69,Questions!$A$2:$X$333,2,0)</f>
        <v>Do you capture or create genetic, biometric, or behaviometric information (e.g., facial recognition or fingerprints)?*</v>
      </c>
      <c r="C69" s="199" t="str">
        <f aca="false">VLOOKUP($A69,Privacy!$A$13:$E$97,3,0)&amp;""</f>
        <v>no</v>
      </c>
      <c r="D69" s="68" t="str">
        <f aca="false">IF(LEFT(VLOOKUP($A69,Privacy!$A$13:$E$97,5,0),21)='Auto Responses'!$A$32,'Auto Responses'!$A$33,VLOOKUP($A69,Privacy!$A$13:$E$97,4,0))&amp;""</f>
        <v/>
      </c>
      <c r="E69" s="206" t="str">
        <f aca="false">VLOOKUP($A69,Privacy!$A$13:$E$97,5,0)&amp;""</f>
        <v>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69" s="209"/>
      <c r="G69" s="197" t="str">
        <f aca="false">VLOOKUP($A69,Questions!$A$2:$X$333,21,0)&amp;""</f>
        <v>No</v>
      </c>
      <c r="H69" s="198"/>
      <c r="I69" s="199" t="str">
        <f aca="false">VLOOKUP($A69,Questions!$A$2:$X$333,23,0)&amp;""</f>
        <v>Critical Importance</v>
      </c>
      <c r="J69" s="198"/>
      <c r="K69" s="200" t="b">
        <f aca="false">FALSE()</f>
        <v>0</v>
      </c>
      <c r="M69" s="176"/>
      <c r="N69" s="176"/>
    </row>
    <row r="70" s="176" customFormat="true" ht="48" hidden="false" customHeight="true" outlineLevel="0" collapsed="false">
      <c r="A70" s="35" t="s">
        <v>361</v>
      </c>
      <c r="B70" s="45" t="str">
        <f aca="false">VLOOKUP($A70,Questions!$A$2:$X$333,2,0)</f>
        <v>Do you combine institutional data (including "de-identified," "anonymized," or otherwise masked data) with personal data from any other sources?*</v>
      </c>
      <c r="C70" s="199" t="str">
        <f aca="false">VLOOKUP($A70,Privacy!$A$13:$E$97,3,0)&amp;""</f>
        <v>no</v>
      </c>
      <c r="D70" s="68" t="str">
        <f aca="false">IF(LEFT(VLOOKUP($A70,Privacy!$A$13:$E$97,5,0),21)='Auto Responses'!$A$32,'Auto Responses'!$A$33,VLOOKUP($A70,Privacy!$A$13:$E$97,4,0))&amp;""</f>
        <v/>
      </c>
      <c r="E70" s="206" t="str">
        <f aca="false">VLOOKUP($A70,Privacy!$A$13:$E$97,5,0)&amp;""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70" s="209"/>
      <c r="G70" s="197" t="str">
        <f aca="false">VLOOKUP($A70,Questions!$A$2:$X$333,21,0)&amp;""</f>
        <v>No</v>
      </c>
      <c r="H70" s="198"/>
      <c r="I70" s="199" t="str">
        <f aca="false">VLOOKUP($A70,Questions!$A$2:$X$333,23,0)&amp;""</f>
        <v>Critical Importance</v>
      </c>
      <c r="J70" s="198"/>
      <c r="K70" s="200" t="b">
        <f aca="false">FALSE()</f>
        <v>0</v>
      </c>
      <c r="L70" s="1"/>
    </row>
    <row r="71" s="176" customFormat="true" ht="48" hidden="false" customHeight="true" outlineLevel="0" collapsed="false">
      <c r="A71" s="35" t="s">
        <v>362</v>
      </c>
      <c r="B71" s="45" t="str">
        <f aca="false">VLOOKUP($A71,Questions!$A$2:$X$333,2,0)</f>
        <v>Is institutional data coming into or going out of the United States at any point during collection, processing, storage, or archiving?</v>
      </c>
      <c r="C71" s="199" t="str">
        <f aca="false">VLOOKUP($A71,Privacy!$A$13:$E$97,3,0)&amp;""</f>
        <v>no</v>
      </c>
      <c r="D71" s="68" t="str">
        <f aca="false">IF(LEFT(VLOOKUP($A71,Privacy!$A$13:$E$97,5,0),21)='Auto Responses'!$A$32,'Auto Responses'!$A$33,VLOOKUP($A71,Privacy!$A$13:$E$97,4,0))&amp;""</f>
        <v/>
      </c>
      <c r="E71" s="206" t="str">
        <f aca="false">VLOOKUP($A71,Privacy!$A$13:$E$97,5,0)&amp;""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71" s="209"/>
      <c r="G71" s="197" t="str">
        <f aca="false">VLOOKUP($A71,Questions!$A$2:$X$333,21,0)&amp;""</f>
        <v>No</v>
      </c>
      <c r="H71" s="198"/>
      <c r="I71" s="199" t="str">
        <f aca="false">VLOOKUP($A71,Questions!$A$2:$X$333,23,0)&amp;""</f>
        <v>Minor Importance</v>
      </c>
      <c r="J71" s="198"/>
      <c r="K71" s="200" t="b">
        <f aca="false">FALSE()</f>
        <v>0</v>
      </c>
      <c r="L71" s="1"/>
    </row>
    <row r="72" s="176" customFormat="true" ht="48" hidden="false" customHeight="true" outlineLevel="0" collapsed="false">
      <c r="A72" s="35" t="s">
        <v>363</v>
      </c>
      <c r="B72" s="45" t="str">
        <f aca="false">VLOOKUP($A72,Questions!$A$2:$X$333,2,0)</f>
        <v>Do you capture device information (e.g., IP address, MAC address)?</v>
      </c>
      <c r="C72" s="199" t="str">
        <f aca="false">VLOOKUP($A72,Privacy!$A$13:$E$97,3,0)&amp;""</f>
        <v>no</v>
      </c>
      <c r="D72" s="68" t="str">
        <f aca="false">IF(LEFT(VLOOKUP($A72,Privacy!$A$13:$E$97,5,0),21)='Auto Responses'!$A$32,'Auto Responses'!$A$33,VLOOKUP($A72,Privacy!$A$13:$E$97,4,0))&amp;""</f>
        <v/>
      </c>
      <c r="E72" s="206" t="str">
        <f aca="false">VLOOKUP($A72,Privacy!$A$13:$E$97,5,0)&amp;""</f>
        <v>Device information can be captured for a variety of reasons, from analytics to marketing to network management and security. It is important to know the details in order to be clear on the privacy implications.</v>
      </c>
      <c r="F72" s="209"/>
      <c r="G72" s="197" t="str">
        <f aca="false">VLOOKUP($A72,Questions!$A$2:$X$333,21,0)&amp;""</f>
        <v>No</v>
      </c>
      <c r="H72" s="198"/>
      <c r="I72" s="199" t="str">
        <f aca="false">VLOOKUP($A72,Questions!$A$2:$X$333,23,0)&amp;""</f>
        <v>Minor Importance</v>
      </c>
      <c r="J72" s="198"/>
      <c r="K72" s="200" t="b">
        <f aca="false">FALSE()</f>
        <v>0</v>
      </c>
      <c r="L72" s="1"/>
    </row>
    <row r="73" s="176" customFormat="true" ht="48" hidden="false" customHeight="true" outlineLevel="0" collapsed="false">
      <c r="A73" s="35" t="s">
        <v>364</v>
      </c>
      <c r="B73" s="45" t="str">
        <f aca="false">VLOOKUP($A73,Questions!$A$2:$X$333,2,0)</f>
        <v>Does any part of this service/project involve a web/app tracking component (e.g., use of web-tracking pixels, cookies)?</v>
      </c>
      <c r="C73" s="199" t="str">
        <f aca="false">VLOOKUP($A73,Privacy!$A$13:$E$97,3,0)&amp;""</f>
        <v>no</v>
      </c>
      <c r="D73" s="68" t="str">
        <f aca="false">IF(LEFT(VLOOKUP($A73,Privacy!$A$13:$E$97,5,0),21)='Auto Responses'!$A$32,'Auto Responses'!$A$33,VLOOKUP($A73,Privacy!$A$13:$E$97,4,0))&amp;""</f>
        <v/>
      </c>
      <c r="E73" s="206" t="str">
        <f aca="false">VLOOKUP($A73,Privacy!$A$13:$E$97,5,0)&amp;""</f>
        <v>Web tracking can be used to identify users via their IP address, login information, browser information, etc.</v>
      </c>
      <c r="F73" s="209"/>
      <c r="G73" s="197" t="str">
        <f aca="false">VLOOKUP($A73,Questions!$A$2:$X$333,21,0)&amp;""</f>
        <v>No</v>
      </c>
      <c r="H73" s="198"/>
      <c r="I73" s="199" t="str">
        <f aca="false">VLOOKUP($A73,Questions!$A$2:$X$333,23,0)&amp;""</f>
        <v>Minor Importance</v>
      </c>
      <c r="J73" s="198"/>
      <c r="K73" s="200" t="b">
        <f aca="false">FALSE()</f>
        <v>0</v>
      </c>
      <c r="L73" s="1"/>
    </row>
    <row r="74" s="176" customFormat="true" ht="48" hidden="false" customHeight="true" outlineLevel="0" collapsed="false">
      <c r="A74" s="35" t="s">
        <v>365</v>
      </c>
      <c r="B74" s="45" t="str">
        <f aca="false">VLOOKUP($A74,Questions!$A$2:$X$333,2,0)</f>
        <v>Does your staff (or a third party) have access to institutional data (e.g., financial, PHI, or other sensitive information) through any means?</v>
      </c>
      <c r="C74" s="199" t="str">
        <f aca="false">VLOOKUP($A74,Privacy!$A$13:$E$97,3,0)&amp;""</f>
        <v>no</v>
      </c>
      <c r="D74" s="68" t="str">
        <f aca="false">IF(LEFT(VLOOKUP($A74,Privacy!$A$13:$E$97,5,0),21)='Auto Responses'!$A$32,'Auto Responses'!$A$33,VLOOKUP($A74,Privacy!$A$13:$E$97,4,0))&amp;""</f>
        <v/>
      </c>
      <c r="E74" s="206" t="str">
        <f aca="false">VLOOKUP($A74,Privacy!$A$13:$E$97,5,0)&amp;""</f>
        <v>Accessing institutional data may be necessary for legitimate business purposes.</v>
      </c>
      <c r="F74" s="209"/>
      <c r="G74" s="197" t="str">
        <f aca="false">VLOOKUP($A74,Questions!$A$2:$X$333,21,0)&amp;""</f>
        <v>No</v>
      </c>
      <c r="H74" s="198"/>
      <c r="I74" s="199" t="str">
        <f aca="false">VLOOKUP($A74,Questions!$A$2:$X$333,23,0)&amp;""</f>
        <v>Minor Importance</v>
      </c>
      <c r="J74" s="198"/>
      <c r="K74" s="200" t="b">
        <f aca="false">FALSE()</f>
        <v>0</v>
      </c>
      <c r="L74" s="1"/>
    </row>
    <row r="75" s="176" customFormat="true" ht="48" hidden="false" customHeight="true" outlineLevel="0" collapsed="false">
      <c r="A75" s="35" t="s">
        <v>366</v>
      </c>
      <c r="B75" s="45" t="str">
        <f aca="false">VLOOKUP($A75,Questions!$A$2:$X$333,2,0)</f>
        <v>Will you handle personal data in a manner compliant with all relevant laws, regulations, and applicable institution policies?</v>
      </c>
      <c r="C75" s="199" t="str">
        <f aca="false">VLOOKUP($A75,Privacy!$A$13:$E$97,3,0)&amp;""</f>
        <v>no</v>
      </c>
      <c r="D75" s="68" t="str">
        <f aca="false">IF(LEFT(VLOOKUP($A75,Privacy!$A$13:$E$97,5,0),21)='Auto Responses'!$A$32,'Auto Responses'!$A$33,VLOOKUP($A75,Privacy!$A$13:$E$97,4,0))&amp;""</f>
        <v/>
      </c>
      <c r="E75" s="206" t="str">
        <f aca="false">VLOOKUP($A75,Privacy!$A$13:$E$97,5,0)&amp;""</f>
        <v>If no, why not? Are there plans for this to be implemented and, if so, when?</v>
      </c>
      <c r="F75" s="209"/>
      <c r="G75" s="197" t="str">
        <f aca="false">VLOOKUP($A75,Questions!$A$2:$X$333,21,0)&amp;""</f>
        <v>Yes</v>
      </c>
      <c r="H75" s="198"/>
      <c r="I75" s="199" t="str">
        <f aca="false">VLOOKUP($A75,Questions!$A$2:$X$333,23,0)&amp;""</f>
        <v>Minor Importance</v>
      </c>
      <c r="J75" s="198"/>
      <c r="K75" s="200" t="b">
        <f aca="false">FALSE()</f>
        <v>0</v>
      </c>
      <c r="L75" s="1"/>
    </row>
    <row r="76" s="176" customFormat="true" ht="36.75" hidden="false" customHeight="true" outlineLevel="0" collapsed="false">
      <c r="A76" s="31" t="str">
        <f aca="false">VLOOKUP(LEFT($A77,4),'Auto Responses'!$N$4:$O$38,2,0)&amp;""</f>
        <v> Privacy Policies and Procedures</v>
      </c>
      <c r="B76" s="42"/>
      <c r="C76" s="43"/>
      <c r="D76" s="43"/>
      <c r="E76" s="204"/>
      <c r="F76" s="192" t="s">
        <v>454</v>
      </c>
      <c r="G76" s="201" t="s">
        <v>449</v>
      </c>
      <c r="H76" s="201" t="s">
        <v>450</v>
      </c>
      <c r="I76" s="201" t="s">
        <v>451</v>
      </c>
      <c r="J76" s="201" t="s">
        <v>452</v>
      </c>
      <c r="K76" s="43"/>
      <c r="L76" s="1"/>
      <c r="M76" s="1"/>
      <c r="N76" s="1"/>
    </row>
    <row r="77" s="176" customFormat="true" ht="48" hidden="false" customHeight="true" outlineLevel="0" collapsed="false">
      <c r="A77" s="35" t="s">
        <v>367</v>
      </c>
      <c r="B77" s="45" t="str">
        <f aca="false">VLOOKUP($A77,Questions!$A$2:$X$333,2,0)</f>
        <v>Do you have a documented privacy management process?</v>
      </c>
      <c r="C77" s="199" t="str">
        <f aca="false">VLOOKUP($A77,Privacy!$A$13:$E$97,3,0)&amp;""</f>
        <v>no</v>
      </c>
      <c r="D77" s="68" t="str">
        <f aca="false">IF(LEFT(VLOOKUP($A77,Privacy!$A$13:$E$97,5,0),21)='Auto Responses'!$A$32,'Auto Responses'!$A$33,VLOOKUP($A77,Privacy!$A$13:$E$97,4,0))&amp;""</f>
        <v>NA</v>
      </c>
      <c r="E77" s="206" t="str">
        <f aca="false">VLOOKUP($A77,Privacy!$A$13:$E$97,5,0)&amp;""</f>
        <v>Are there plans to implement? If so, when will this be completed?</v>
      </c>
      <c r="F77" s="209"/>
      <c r="G77" s="197" t="str">
        <f aca="false">VLOOKUP($A77,Questions!$A$2:$X$333,21,0)&amp;""</f>
        <v>Yes</v>
      </c>
      <c r="H77" s="198"/>
      <c r="I77" s="199" t="str">
        <f aca="false">VLOOKUP($A77,Questions!$A$2:$X$333,23,0)&amp;""</f>
        <v>Minor Importance</v>
      </c>
      <c r="J77" s="198"/>
      <c r="K77" s="200" t="b">
        <f aca="false">FALSE()</f>
        <v>0</v>
      </c>
      <c r="L77" s="1"/>
    </row>
    <row r="78" s="176" customFormat="true" ht="48" hidden="false" customHeight="true" outlineLevel="0" collapsed="false">
      <c r="A78" s="35" t="s">
        <v>368</v>
      </c>
      <c r="B78" s="45" t="str">
        <f aca="false">VLOOKUP($A78,Questions!$A$2:$X$333,2,0)</f>
        <v>Are privacy principles designed into the product lifecycle (i.e., privacy-by-design)?</v>
      </c>
      <c r="C78" s="199" t="str">
        <f aca="false">VLOOKUP($A78,Privacy!$A$13:$E$97,3,0)&amp;""</f>
        <v>No</v>
      </c>
      <c r="D78" s="68" t="str">
        <f aca="false">IF(LEFT(VLOOKUP($A78,Privacy!$A$13:$E$97,5,0),21)='Auto Responses'!$A$32,'Auto Responses'!$A$33,VLOOKUP($A78,Privacy!$A$13:$E$97,4,0))&amp;""</f>
        <v>NA</v>
      </c>
      <c r="E78" s="206" t="str">
        <f aca="false">VLOOKUP($A78,Privacy!$A$13:$E$97,5,0)&amp;""</f>
        <v>State why principles are not designed into the product lifecycle.</v>
      </c>
      <c r="F78" s="209"/>
      <c r="G78" s="197" t="str">
        <f aca="false">VLOOKUP($A78,Questions!$A$2:$X$333,21,0)&amp;""</f>
        <v>Yes</v>
      </c>
      <c r="H78" s="198"/>
      <c r="I78" s="199" t="str">
        <f aca="false">VLOOKUP($A78,Questions!$A$2:$X$333,23,0)&amp;""</f>
        <v>Minor Importance</v>
      </c>
      <c r="J78" s="198"/>
      <c r="K78" s="200" t="b">
        <f aca="false">FALSE()</f>
        <v>0</v>
      </c>
      <c r="L78" s="1"/>
    </row>
    <row r="79" s="176" customFormat="true" ht="48" hidden="false" customHeight="true" outlineLevel="0" collapsed="false">
      <c r="A79" s="35" t="s">
        <v>369</v>
      </c>
      <c r="B79" s="45" t="str">
        <f aca="false">VLOOKUP($A79,Questions!$A$2:$X$333,2,0)</f>
        <v>Will you comply with applicable breach notification laws?</v>
      </c>
      <c r="C79" s="199" t="str">
        <f aca="false">VLOOKUP($A79,Privacy!$A$13:$E$97,3,0)&amp;""</f>
        <v>No</v>
      </c>
      <c r="D79" s="68" t="str">
        <f aca="false">IF(LEFT(VLOOKUP($A79,Privacy!$A$13:$E$97,5,0),21)='Auto Responses'!$A$32,'Auto Responses'!$A$33,VLOOKUP($A79,Privacy!$A$13:$E$97,4,0))&amp;""</f>
        <v>NA</v>
      </c>
      <c r="E79" s="206" t="str">
        <f aca="false">VLOOKUP($A79,Privacy!$A$13:$E$97,5,0)&amp;""</f>
        <v>Provide reason for not complying.</v>
      </c>
      <c r="F79" s="209"/>
      <c r="G79" s="197" t="str">
        <f aca="false">VLOOKUP($A79,Questions!$A$2:$X$333,21,0)&amp;""</f>
        <v>Yes</v>
      </c>
      <c r="H79" s="198"/>
      <c r="I79" s="199" t="str">
        <f aca="false">VLOOKUP($A79,Questions!$A$2:$X$333,23,0)&amp;""</f>
        <v>Standard Importance</v>
      </c>
      <c r="J79" s="198"/>
      <c r="K79" s="200" t="b">
        <f aca="false">FALSE()</f>
        <v>0</v>
      </c>
      <c r="L79" s="1"/>
    </row>
    <row r="80" s="176" customFormat="true" ht="48" hidden="false" customHeight="true" outlineLevel="0" collapsed="false">
      <c r="A80" s="35" t="s">
        <v>370</v>
      </c>
      <c r="B80" s="45" t="str">
        <f aca="false">VLOOKUP($A80,Questions!$A$2:$X$333,2,0)</f>
        <v>Will you comply with the institution's policies regarding user privacy and data protection?</v>
      </c>
      <c r="C80" s="199" t="str">
        <f aca="false">VLOOKUP($A80,Privacy!$A$13:$E$97,3,0)&amp;""</f>
        <v>No</v>
      </c>
      <c r="D80" s="68" t="str">
        <f aca="false">IF(LEFT(VLOOKUP($A80,Privacy!$A$13:$E$97,5,0),21)='Auto Responses'!$A$32,'Auto Responses'!$A$33,VLOOKUP($A80,Privacy!$A$13:$E$97,4,0))&amp;""</f>
        <v>NA</v>
      </c>
      <c r="E80" s="206" t="str">
        <f aca="false">VLOOKUP($A80,Privacy!$A$13:$E$97,5,0)&amp;""</f>
        <v>Explain the legal or operational reasons and offer an alternative policy.</v>
      </c>
      <c r="F80" s="209"/>
      <c r="G80" s="197" t="str">
        <f aca="false">VLOOKUP($A80,Questions!$A$2:$X$333,21,0)&amp;""</f>
        <v>Yes</v>
      </c>
      <c r="H80" s="198"/>
      <c r="I80" s="199" t="str">
        <f aca="false">VLOOKUP($A80,Questions!$A$2:$X$333,23,0)&amp;""</f>
        <v>Minor Importance</v>
      </c>
      <c r="J80" s="198"/>
      <c r="K80" s="200" t="b">
        <f aca="false">FALSE()</f>
        <v>0</v>
      </c>
      <c r="L80" s="1"/>
    </row>
    <row r="81" s="176" customFormat="true" ht="48" hidden="false" customHeight="true" outlineLevel="0" collapsed="false">
      <c r="A81" s="35" t="s">
        <v>371</v>
      </c>
      <c r="B81" s="45" t="str">
        <f aca="false">VLOOKUP($A81,Questions!$A$2:$X$333,2,0)</f>
        <v>Is your company subject to the laws and regulations of the institution's geographic region?</v>
      </c>
      <c r="C81" s="199" t="str">
        <f aca="false">VLOOKUP($A81,Privacy!$A$13:$E$97,3,0)&amp;""</f>
        <v>No</v>
      </c>
      <c r="D81" s="68" t="str">
        <f aca="false">IF(LEFT(VLOOKUP($A81,Privacy!$A$13:$E$97,5,0),21)='Auto Responses'!$A$32,'Auto Responses'!$A$33,VLOOKUP($A81,Privacy!$A$13:$E$97,4,0))&amp;""</f>
        <v>NA</v>
      </c>
      <c r="E81" s="206" t="str">
        <f aca="false">VLOOKUP($A81,Privacy!$A$13:$E$97,5,0)&amp;""</f>
        <v>Explain why your operations fall outside the region’s legal scope and how you nevertheless ensure regulatory compliance.</v>
      </c>
      <c r="F81" s="209"/>
      <c r="G81" s="197" t="str">
        <f aca="false">VLOOKUP($A81,Questions!$A$2:$X$333,21,0)&amp;""</f>
        <v>Yes</v>
      </c>
      <c r="H81" s="198"/>
      <c r="I81" s="199" t="str">
        <f aca="false">VLOOKUP($A81,Questions!$A$2:$X$333,23,0)&amp;""</f>
        <v>Minor Importance</v>
      </c>
      <c r="J81" s="198"/>
      <c r="K81" s="200" t="b">
        <f aca="false">FALSE()</f>
        <v>0</v>
      </c>
      <c r="L81" s="1"/>
    </row>
    <row r="82" s="176" customFormat="true" ht="48" hidden="false" customHeight="true" outlineLevel="0" collapsed="false">
      <c r="A82" s="35" t="s">
        <v>372</v>
      </c>
      <c r="B82" s="45" t="str">
        <f aca="false">VLOOKUP($A82,Questions!$A$2:$X$333,2,0)</f>
        <v>Do you have a privacy awareness/training program?*</v>
      </c>
      <c r="C82" s="199" t="str">
        <f aca="false">VLOOKUP($A82,Privacy!$A$13:$E$97,3,0)&amp;""</f>
        <v>No</v>
      </c>
      <c r="D82" s="68" t="str">
        <f aca="false">IF(LEFT(VLOOKUP($A82,Privacy!$A$13:$E$97,5,0),21)='Auto Responses'!$A$32,'Auto Responses'!$A$33,VLOOKUP($A82,Privacy!$A$13:$E$97,4,0))&amp;""</f>
        <v>NA</v>
      </c>
      <c r="E82" s="206" t="str">
        <f aca="false">VLOOKUP($A82,Privacy!$A$13:$E$97,5,0)&amp;""</f>
        <v>Describe plans to include data privacy training or why you have determined it is not needed.</v>
      </c>
      <c r="F82" s="209"/>
      <c r="G82" s="197" t="str">
        <f aca="false">VLOOKUP($A82,Questions!$A$2:$X$333,21,0)&amp;""</f>
        <v>Yes</v>
      </c>
      <c r="H82" s="198"/>
      <c r="I82" s="199" t="str">
        <f aca="false">VLOOKUP($A82,Questions!$A$2:$X$333,23,0)&amp;""</f>
        <v>Critical Importance</v>
      </c>
      <c r="J82" s="198"/>
      <c r="K82" s="200" t="b">
        <f aca="false">FALSE()</f>
        <v>0</v>
      </c>
      <c r="L82" s="1"/>
    </row>
    <row r="83" s="1" customFormat="true" ht="48" hidden="false" customHeight="true" outlineLevel="0" collapsed="false">
      <c r="A83" s="35" t="s">
        <v>373</v>
      </c>
      <c r="B83" s="45" t="str">
        <f aca="false">VLOOKUP($A83,Questions!$A$2:$X$333,2,0)</f>
        <v>Is privacy awareness training mandatory for all employees?</v>
      </c>
      <c r="C83" s="199" t="str">
        <f aca="false">VLOOKUP($A83,Privacy!$A$13:$E$97,3,0)&amp;""</f>
        <v>No</v>
      </c>
      <c r="D83" s="68" t="str">
        <f aca="false">IF(LEFT(VLOOKUP($A83,Privacy!$A$13:$E$97,5,0),21)='Auto Responses'!$A$32,'Auto Responses'!$A$33,VLOOKUP($A83,Privacy!$A$13:$E$97,4,0))&amp;""</f>
        <v>NA</v>
      </c>
      <c r="E83" s="206" t="str">
        <f aca="false">VLOOKUP($A83,Privacy!$A$13:$E$97,5,0)&amp;""</f>
        <v>Describe plans to require.</v>
      </c>
      <c r="F83" s="209"/>
      <c r="G83" s="197" t="str">
        <f aca="false">VLOOKUP($A83,Questions!$A$2:$X$333,21,0)&amp;""</f>
        <v>Yes</v>
      </c>
      <c r="H83" s="198"/>
      <c r="I83" s="199" t="str">
        <f aca="false">VLOOKUP($A83,Questions!$A$2:$X$333,23,0)&amp;""</f>
        <v>Minor Importance</v>
      </c>
      <c r="J83" s="198"/>
      <c r="K83" s="200" t="b">
        <f aca="false">FALSE()</f>
        <v>0</v>
      </c>
      <c r="M83" s="176"/>
      <c r="N83" s="176"/>
    </row>
    <row r="84" s="176" customFormat="true" ht="48" hidden="false" customHeight="true" outlineLevel="0" collapsed="false">
      <c r="A84" s="35" t="s">
        <v>374</v>
      </c>
      <c r="B84" s="45" t="str">
        <f aca="false">VLOOKUP($A84,Questions!$A$2:$X$333,2,0)</f>
        <v>Is AI privacy and ethics awareness/training required for all employees who work with AI?</v>
      </c>
      <c r="C84" s="199" t="str">
        <f aca="false">VLOOKUP($A84,Privacy!$A$13:$E$97,3,0)&amp;""</f>
        <v>No</v>
      </c>
      <c r="D84" s="68" t="str">
        <f aca="false">IF(LEFT(VLOOKUP($A84,Privacy!$A$13:$E$97,5,0),21)='Auto Responses'!$A$32,'Auto Responses'!$A$33,VLOOKUP($A84,Privacy!$A$13:$E$97,4,0))&amp;""</f>
        <v>NA</v>
      </c>
      <c r="E84" s="206" t="str">
        <f aca="false">VLOOKUP($A84,Privacy!$A$13:$E$97,5,0)&amp;""</f>
        <v>Describe plans to include AI training.</v>
      </c>
      <c r="F84" s="209"/>
      <c r="G84" s="197" t="str">
        <f aca="false">VLOOKUP($A84,Questions!$A$2:$X$333,21,0)&amp;""</f>
        <v>Yes</v>
      </c>
      <c r="H84" s="198"/>
      <c r="I84" s="199" t="str">
        <f aca="false">VLOOKUP($A84,Questions!$A$2:$X$333,23,0)&amp;""</f>
        <v>Minor Importance</v>
      </c>
      <c r="J84" s="198"/>
      <c r="K84" s="200" t="b">
        <f aca="false">FALSE()</f>
        <v>0</v>
      </c>
      <c r="L84" s="1"/>
    </row>
    <row r="85" s="176" customFormat="true" ht="48" hidden="false" customHeight="true" outlineLevel="0" collapsed="false">
      <c r="A85" s="35" t="s">
        <v>375</v>
      </c>
      <c r="B85" s="45" t="str">
        <f aca="false">VLOOKUP($A85,Questions!$A$2:$X$333,2,0)</f>
        <v>Do you have any decision-making processes that are completely automated (i.e., there is no human involvement)?</v>
      </c>
      <c r="C85" s="199" t="str">
        <f aca="false">VLOOKUP($A85,Privacy!$A$13:$E$97,3,0)&amp;""</f>
        <v>No</v>
      </c>
      <c r="D85" s="68" t="str">
        <f aca="false">IF(LEFT(VLOOKUP($A85,Privacy!$A$13:$E$97,5,0),21)='Auto Responses'!$A$32,'Auto Responses'!$A$33,VLOOKUP($A85,Privacy!$A$13:$E$97,4,0))&amp;""</f>
        <v>NA</v>
      </c>
      <c r="E85" s="206" t="str">
        <f aca="false">VLOOKUP($A85,Privacy!$A$13:$E$97,5,0)&amp;""</f>
        <v>Examples of such automated decisions could include automatically denying or approving user access requests, flagging or blocking transactions based on risk scores, or AI-driven decisions that affect user outcomes (e.g., eligibility, grading, pricing).</v>
      </c>
      <c r="F85" s="209"/>
      <c r="G85" s="197" t="str">
        <f aca="false">VLOOKUP($A85,Questions!$A$2:$X$333,21,0)&amp;""</f>
        <v>No</v>
      </c>
      <c r="H85" s="198"/>
      <c r="I85" s="199" t="str">
        <f aca="false">VLOOKUP($A85,Questions!$A$2:$X$333,23,0)&amp;""</f>
        <v>Minor Importance</v>
      </c>
      <c r="J85" s="198"/>
      <c r="K85" s="200" t="b">
        <f aca="false">FALSE()</f>
        <v>0</v>
      </c>
      <c r="L85" s="1"/>
    </row>
    <row r="86" s="176" customFormat="true" ht="48" hidden="false" customHeight="true" outlineLevel="0" collapsed="false">
      <c r="A86" s="35" t="s">
        <v>376</v>
      </c>
      <c r="B86" s="45" t="str">
        <f aca="false">VLOOKUP($A86,Questions!$A$2:$X$333,2,0)</f>
        <v>Do you have a documented process for managing automated processing, including validations, monitoring, and data subject requests?</v>
      </c>
      <c r="C86" s="199" t="str">
        <f aca="false">VLOOKUP($A86,Privacy!$A$13:$E$97,3,0)&amp;""</f>
        <v>No</v>
      </c>
      <c r="D86" s="68" t="str">
        <f aca="false">IF(LEFT(VLOOKUP($A86,Privacy!$A$13:$E$97,5,0),21)='Auto Responses'!$A$32,'Auto Responses'!$A$33,VLOOKUP($A86,Privacy!$A$13:$E$97,4,0))&amp;""</f>
        <v>NA</v>
      </c>
      <c r="E86" s="206" t="str">
        <f aca="false">VLOOKUP($A86,Privacy!$A$13:$E$97,5,0)&amp;""</f>
        <v>Describe plans to implement processes in the future.</v>
      </c>
      <c r="F86" s="209"/>
      <c r="G86" s="197" t="str">
        <f aca="false">VLOOKUP($A86,Questions!$A$2:$X$333,21,0)&amp;""</f>
        <v>Yes</v>
      </c>
      <c r="H86" s="198"/>
      <c r="I86" s="199" t="str">
        <f aca="false">VLOOKUP($A86,Questions!$A$2:$X$333,23,0)&amp;""</f>
        <v>Minor Importance</v>
      </c>
      <c r="J86" s="198"/>
      <c r="K86" s="200" t="b">
        <f aca="false">FALSE()</f>
        <v>0</v>
      </c>
      <c r="L86" s="1"/>
    </row>
    <row r="87" s="176" customFormat="true" ht="48" hidden="false" customHeight="true" outlineLevel="0" collapsed="false">
      <c r="A87" s="35" t="s">
        <v>377</v>
      </c>
      <c r="B87" s="45" t="str">
        <f aca="false">VLOOKUP($A87,Questions!$A$2:$X$333,2,0)</f>
        <v>Do you have a documented policy for sharing information with law enforcement?</v>
      </c>
      <c r="C87" s="199" t="str">
        <f aca="false">VLOOKUP($A87,Privacy!$A$13:$E$97,3,0)&amp;""</f>
        <v>No</v>
      </c>
      <c r="D87" s="68" t="str">
        <f aca="false">IF(LEFT(VLOOKUP($A87,Privacy!$A$13:$E$97,5,0),21)='Auto Responses'!$A$32,'Auto Responses'!$A$33,VLOOKUP($A87,Privacy!$A$13:$E$97,4,0))&amp;""</f>
        <v>NA</v>
      </c>
      <c r="E87" s="206" t="str">
        <f aca="false">VLOOKUP($A87,Privacy!$A$13:$E$97,5,0)&amp;""</f>
        <v>Explain any plans to develop a policy. If no plans exist, explain why not.</v>
      </c>
      <c r="F87" s="209"/>
      <c r="G87" s="197" t="str">
        <f aca="false">VLOOKUP($A87,Questions!$A$2:$X$333,21,0)&amp;""</f>
        <v>Yes</v>
      </c>
      <c r="H87" s="198"/>
      <c r="I87" s="199" t="str">
        <f aca="false">VLOOKUP($A87,Questions!$A$2:$X$333,23,0)&amp;""</f>
        <v>Minor Importance</v>
      </c>
      <c r="J87" s="198"/>
      <c r="K87" s="200" t="b">
        <f aca="false">FALSE()</f>
        <v>0</v>
      </c>
      <c r="L87" s="1"/>
    </row>
    <row r="88" s="176" customFormat="true" ht="48" hidden="false" customHeight="true" outlineLevel="0" collapsed="false">
      <c r="A88" s="35" t="s">
        <v>378</v>
      </c>
      <c r="B88" s="45" t="str">
        <f aca="false">VLOOKUP($A88,Questions!$A$2:$X$333,2,0)</f>
        <v>Do you share any institutional data with law enforcement without a valid warrant or subpoena?*</v>
      </c>
      <c r="C88" s="199" t="str">
        <f aca="false">VLOOKUP($A88,Privacy!$A$13:$E$97,3,0)&amp;""</f>
        <v>No</v>
      </c>
      <c r="D88" s="68" t="str">
        <f aca="false">IF(LEFT(VLOOKUP($A88,Privacy!$A$13:$E$97,5,0),21)='Auto Responses'!$A$32,'Auto Responses'!$A$33,VLOOKUP($A88,Privacy!$A$13:$E$97,4,0))&amp;""</f>
        <v>NA</v>
      </c>
      <c r="E88" s="206" t="str">
        <f aca="false">VLOOKUP($A88,Privacy!$A$13:$E$97,5,0)&amp;""</f>
        <v>Describe how you ensure this does not occur.</v>
      </c>
      <c r="F88" s="209"/>
      <c r="G88" s="197" t="str">
        <f aca="false">VLOOKUP($A88,Questions!$A$2:$X$333,21,0)&amp;""</f>
        <v>No</v>
      </c>
      <c r="H88" s="198"/>
      <c r="I88" s="199" t="str">
        <f aca="false">VLOOKUP($A88,Questions!$A$2:$X$333,23,0)&amp;""</f>
        <v>Critical Importance</v>
      </c>
      <c r="J88" s="198"/>
      <c r="K88" s="200" t="b">
        <f aca="false">FALSE()</f>
        <v>0</v>
      </c>
      <c r="L88" s="1"/>
    </row>
    <row r="89" s="1" customFormat="true" ht="48" hidden="false" customHeight="true" outlineLevel="0" collapsed="false">
      <c r="A89" s="35" t="s">
        <v>379</v>
      </c>
      <c r="B89" s="45" t="str">
        <f aca="false">VLOOKUP($A89,Questions!$A$2:$X$333,2,0)</f>
        <v>Does your incident response team include a privacy analyst/officer?</v>
      </c>
      <c r="C89" s="199" t="str">
        <f aca="false">VLOOKUP($A89,Privacy!$A$13:$E$97,3,0)&amp;""</f>
        <v>No</v>
      </c>
      <c r="D89" s="68" t="str">
        <f aca="false">IF(LEFT(VLOOKUP($A89,Privacy!$A$13:$E$97,5,0),21)='Auto Responses'!$A$32,'Auto Responses'!$A$33,VLOOKUP($A89,Privacy!$A$13:$E$97,4,0))&amp;""</f>
        <v>NA</v>
      </c>
      <c r="E89" s="206" t="str">
        <f aca="false">VLOOKUP($A89,Privacy!$A$13:$E$97,5,0)&amp;""</f>
        <v>Explain why not</v>
      </c>
      <c r="F89" s="209"/>
      <c r="G89" s="197" t="str">
        <f aca="false">VLOOKUP($A89,Questions!$A$2:$X$333,21,0)&amp;""</f>
        <v>Yes</v>
      </c>
      <c r="H89" s="198"/>
      <c r="I89" s="199" t="str">
        <f aca="false">VLOOKUP($A89,Questions!$A$2:$X$333,23,0)&amp;""</f>
        <v>Minor Importance</v>
      </c>
      <c r="J89" s="198"/>
      <c r="K89" s="200" t="b">
        <f aca="false">FALSE()</f>
        <v>0</v>
      </c>
      <c r="M89" s="176"/>
      <c r="N89" s="176"/>
    </row>
    <row r="90" s="176" customFormat="true" ht="36.75" hidden="false" customHeight="true" outlineLevel="0" collapsed="false">
      <c r="A90" s="31" t="str">
        <f aca="false">VLOOKUP(LEFT($A91,4),'Auto Responses'!$N$4:$O$38,2,0)&amp;""</f>
        <v> International Privacy</v>
      </c>
      <c r="B90" s="42"/>
      <c r="C90" s="43"/>
      <c r="D90" s="43"/>
      <c r="E90" s="204"/>
      <c r="F90" s="192" t="s">
        <v>454</v>
      </c>
      <c r="G90" s="201" t="s">
        <v>449</v>
      </c>
      <c r="H90" s="201" t="s">
        <v>450</v>
      </c>
      <c r="I90" s="201" t="s">
        <v>451</v>
      </c>
      <c r="J90" s="201" t="s">
        <v>452</v>
      </c>
      <c r="K90" s="43"/>
      <c r="L90" s="1"/>
      <c r="M90" s="1"/>
      <c r="N90" s="1"/>
    </row>
    <row r="91" s="176" customFormat="true" ht="48" hidden="false" customHeight="true" outlineLevel="0" collapsed="false">
      <c r="A91" s="35" t="s">
        <v>380</v>
      </c>
      <c r="B91" s="45" t="str">
        <f aca="false">VLOOKUP($A91,Questions!$A$2:$X$333,2,0)</f>
        <v>Will data be collected from or processed in or stored in the European Economic Area (EEA)?</v>
      </c>
      <c r="C91" s="199" t="str">
        <f aca="false">VLOOKUP($A91,Privacy!$A$13:$E$97,3,0)&amp;""</f>
        <v>No</v>
      </c>
      <c r="D91" s="68" t="str">
        <f aca="false">IF(LEFT(VLOOKUP($A91,Privacy!$A$13:$E$97,5,0),21)='Auto Responses'!$A$32,'Auto Responses'!$A$33,VLOOKUP($A91,Privacy!$A$13:$E$97,4,0))&amp;""</f>
        <v>We only collectt limited web server informations, like number of downloads and number of « news feed » opening. No information is stored that could allow to identify users or organisations.</v>
      </c>
      <c r="E91" s="206" t="str">
        <f aca="false">VLOOKUP($A91,Privacy!$A$13:$E$97,5,0)&amp;""</f>
        <v/>
      </c>
      <c r="F91" s="209"/>
      <c r="G91" s="197" t="str">
        <f aca="false">VLOOKUP($A91,Questions!$A$2:$X$333,21,0)&amp;""</f>
        <v>No</v>
      </c>
      <c r="H91" s="198"/>
      <c r="I91" s="199" t="str">
        <f aca="false">VLOOKUP($A91,Questions!$A$2:$X$333,23,0)&amp;""</f>
        <v>Standard Importance</v>
      </c>
      <c r="J91" s="198"/>
      <c r="K91" s="200" t="b">
        <f aca="false">FALSE()</f>
        <v>0</v>
      </c>
      <c r="L91" s="1"/>
    </row>
    <row r="92" s="176" customFormat="true" ht="48" hidden="false" customHeight="true" outlineLevel="0" collapsed="false">
      <c r="A92" s="35" t="s">
        <v>382</v>
      </c>
      <c r="B92" s="45" t="str">
        <f aca="false">VLOOKUP($A92,Questions!$A$2:$X$333,2,0)</f>
        <v>Do you have a data protection officer (DPO)?</v>
      </c>
      <c r="C92" s="199" t="str">
        <f aca="false">VLOOKUP($A92,Privacy!$A$13:$E$97,3,0)&amp;""</f>
        <v>No</v>
      </c>
      <c r="D92" s="68" t="str">
        <f aca="false">IF(LEFT(VLOOKUP($A92,Privacy!$A$13:$E$97,5,0),21)='Auto Responses'!$A$32,'Auto Responses'!$A$33,VLOOKUP($A92,Privacy!$A$13:$E$97,4,0))&amp;""</f>
        <v>There is no need as we don’t collect personal data. However PSC and QGIS chairman can be designated for this role.</v>
      </c>
      <c r="E92" s="206" t="str">
        <f aca="false">VLOOKUP($A92,Privacy!$A$13:$E$97,5,0)&amp;""</f>
        <v>Explain why not</v>
      </c>
      <c r="F92" s="209"/>
      <c r="G92" s="197" t="str">
        <f aca="false">VLOOKUP($A92,Questions!$A$2:$X$333,21,0)&amp;""</f>
        <v>Yes</v>
      </c>
      <c r="H92" s="198"/>
      <c r="I92" s="199" t="str">
        <f aca="false">VLOOKUP($A92,Questions!$A$2:$X$333,23,0)&amp;""</f>
        <v>Standard Importance</v>
      </c>
      <c r="J92" s="198"/>
      <c r="K92" s="200" t="b">
        <f aca="false">FALSE()</f>
        <v>0</v>
      </c>
      <c r="L92" s="1"/>
    </row>
    <row r="93" s="176" customFormat="true" ht="48" hidden="false" customHeight="true" outlineLevel="0" collapsed="false">
      <c r="A93" s="35" t="s">
        <v>384</v>
      </c>
      <c r="B93" s="45" t="str">
        <f aca="false">VLOOKUP($A93,Questions!$A$2:$X$333,2,0)</f>
        <v>Will you sign appropriate GDPR Standard Contractual Clauses (SCCs) with the institution?</v>
      </c>
      <c r="C93" s="199" t="str">
        <f aca="false">VLOOKUP($A93,Privacy!$A$13:$E$97,3,0)&amp;""</f>
        <v>No</v>
      </c>
      <c r="D93" s="68" t="str">
        <f aca="false">IF(LEFT(VLOOKUP($A93,Privacy!$A$13:$E$97,5,0),21)='Auto Responses'!$A$32,'Auto Responses'!$A$33,VLOOKUP($A93,Privacy!$A$13:$E$97,4,0))&amp;""</f>
        <v>No data is concerned, so there is no need for this.</v>
      </c>
      <c r="E93" s="206" t="str">
        <f aca="false">VLOOKUP($A93,Privacy!$A$13:$E$97,5,0)&amp;""</f>
        <v>Explain why not</v>
      </c>
      <c r="F93" s="209"/>
      <c r="G93" s="197" t="str">
        <f aca="false">VLOOKUP($A93,Questions!$A$2:$X$333,21,0)&amp;""</f>
        <v>Yes</v>
      </c>
      <c r="H93" s="198"/>
      <c r="I93" s="199" t="str">
        <f aca="false">VLOOKUP($A93,Questions!$A$2:$X$333,23,0)&amp;""</f>
        <v>Standard Importance</v>
      </c>
      <c r="J93" s="198"/>
      <c r="K93" s="200" t="b">
        <f aca="false">FALSE()</f>
        <v>0</v>
      </c>
      <c r="L93" s="1"/>
    </row>
    <row r="94" s="176" customFormat="true" ht="48" hidden="false" customHeight="true" outlineLevel="0" collapsed="false">
      <c r="A94" s="35" t="s">
        <v>386</v>
      </c>
      <c r="B94" s="45" t="str">
        <f aca="false">VLOOKUP($A94,Questions!$A$2:$X$333,2,0)</f>
        <v>Will data be collected from or processed in or stored in China?</v>
      </c>
      <c r="C94" s="199" t="str">
        <f aca="false">VLOOKUP($A94,Privacy!$A$13:$E$97,3,0)&amp;""</f>
        <v>No</v>
      </c>
      <c r="D94" s="68" t="str">
        <f aca="false">IF(LEFT(VLOOKUP($A94,Privacy!$A$13:$E$97,5,0),21)='Auto Responses'!$A$32,'Auto Responses'!$A$33,VLOOKUP($A94,Privacy!$A$13:$E$97,4,0))&amp;""</f>
        <v>No data is concerned, so there is no need for this.</v>
      </c>
      <c r="E94" s="206" t="str">
        <f aca="false">VLOOKUP($A94,Privacy!$A$13:$E$97,5,0)&amp;""</f>
        <v>See PIPL Chapter 1 for definitions.</v>
      </c>
      <c r="F94" s="209"/>
      <c r="G94" s="197" t="str">
        <f aca="false">VLOOKUP($A94,Questions!$A$2:$X$333,21,0)&amp;""</f>
        <v>No</v>
      </c>
      <c r="H94" s="198"/>
      <c r="I94" s="199" t="str">
        <f aca="false">VLOOKUP($A94,Questions!$A$2:$X$333,23,0)&amp;""</f>
        <v>Standard Importance</v>
      </c>
      <c r="J94" s="198"/>
      <c r="K94" s="200" t="b">
        <f aca="false">FALSE()</f>
        <v>0</v>
      </c>
      <c r="L94" s="1"/>
    </row>
    <row r="95" s="176" customFormat="true" ht="48" hidden="false" customHeight="true" outlineLevel="0" collapsed="false">
      <c r="A95" s="35" t="s">
        <v>387</v>
      </c>
      <c r="B95" s="45" t="str">
        <f aca="false">VLOOKUP($A95,Questions!$A$2:$X$333,2,0)</f>
        <v>Do you comply with PIPL security, privacy, and data localization requirements?</v>
      </c>
      <c r="C95" s="199" t="str">
        <f aca="false">VLOOKUP($A95,Privacy!$A$13:$E$97,3,0)&amp;""</f>
        <v>No</v>
      </c>
      <c r="D95" s="68" t="str">
        <f aca="false">IF(LEFT(VLOOKUP($A95,Privacy!$A$13:$E$97,5,0),21)='Auto Responses'!$A$32,'Auto Responses'!$A$33,VLOOKUP($A95,Privacy!$A$13:$E$97,4,0))&amp;""</f>
        <v>NA</v>
      </c>
      <c r="E95" s="206" t="str">
        <f aca="false">VLOOKUP($A95,Privacy!$A$13:$E$97,5,0)&amp;""</f>
        <v>Explain why not</v>
      </c>
      <c r="F95" s="209"/>
      <c r="G95" s="197" t="str">
        <f aca="false">VLOOKUP($A95,Questions!$A$2:$X$333,21,0)&amp;""</f>
        <v>Yes</v>
      </c>
      <c r="H95" s="198"/>
      <c r="I95" s="199" t="str">
        <f aca="false">VLOOKUP($A95,Questions!$A$2:$X$333,23,0)&amp;""</f>
        <v>Standard Importance</v>
      </c>
      <c r="J95" s="198"/>
      <c r="K95" s="200" t="b">
        <f aca="false">FALSE()</f>
        <v>0</v>
      </c>
      <c r="L95" s="1"/>
    </row>
    <row r="96" s="176" customFormat="true" ht="36.75" hidden="false" customHeight="true" outlineLevel="0" collapsed="false">
      <c r="A96" s="31" t="str">
        <f aca="false">VLOOKUP(LEFT($A97,4),'Auto Responses'!$N$4:$O$38,2,0)&amp;""</f>
        <v> Data Privacy</v>
      </c>
      <c r="B96" s="42"/>
      <c r="C96" s="43"/>
      <c r="D96" s="43"/>
      <c r="E96" s="204"/>
      <c r="F96" s="192" t="s">
        <v>454</v>
      </c>
      <c r="G96" s="201" t="s">
        <v>449</v>
      </c>
      <c r="H96" s="201" t="s">
        <v>450</v>
      </c>
      <c r="I96" s="201" t="s">
        <v>451</v>
      </c>
      <c r="J96" s="201" t="s">
        <v>452</v>
      </c>
      <c r="K96" s="43"/>
      <c r="L96" s="1"/>
      <c r="M96" s="1"/>
      <c r="N96" s="1"/>
    </row>
    <row r="97" s="176" customFormat="true" ht="48" hidden="false" customHeight="true" outlineLevel="0" collapsed="false">
      <c r="A97" s="35" t="s">
        <v>388</v>
      </c>
      <c r="B97" s="45" t="str">
        <f aca="false">VLOOKUP($A97,Questions!$A$2:$X$333,2,0)</f>
        <v>Have you performed a Data Privacy Impact Assesssment for the solution/project?</v>
      </c>
      <c r="C97" s="199" t="str">
        <f aca="false">VLOOKUP($A97,Privacy!$A$13:$E$97,3,0)&amp;""</f>
        <v>No</v>
      </c>
      <c r="D97" s="68" t="str">
        <f aca="false">IF(LEFT(VLOOKUP($A97,Privacy!$A$13:$E$97,5,0),21)='Auto Responses'!$A$32,'Auto Responses'!$A$33,VLOOKUP($A97,Privacy!$A$13:$E$97,4,0))&amp;""</f>
        <v>NA</v>
      </c>
      <c r="E97" s="206" t="str">
        <f aca="false">VLOOKUP($A97,Privacy!$A$13:$E$97,5,0)&amp;""</f>
        <v>Provide timeline for this or reason not to perform.</v>
      </c>
      <c r="F97" s="209"/>
      <c r="G97" s="197" t="str">
        <f aca="false">VLOOKUP($A97,Questions!$A$2:$X$333,21,0)&amp;""</f>
        <v>Yes</v>
      </c>
      <c r="H97" s="198"/>
      <c r="I97" s="199" t="str">
        <f aca="false">VLOOKUP($A97,Questions!$A$2:$X$333,23,0)&amp;""</f>
        <v>Standard Importance</v>
      </c>
      <c r="J97" s="198"/>
      <c r="K97" s="200" t="b">
        <f aca="false">FALSE()</f>
        <v>0</v>
      </c>
      <c r="L97" s="1"/>
    </row>
    <row r="98" s="176" customFormat="true" ht="70.5" hidden="false" customHeight="true" outlineLevel="0" collapsed="false">
      <c r="A98" s="35" t="s">
        <v>389</v>
      </c>
      <c r="B98" s="45" t="str">
        <f aca="false">VLOOKUP($A98,Questions!$A$2:$X$333,2,0)</f>
        <v>Do you provide an end-user privacy notice about privacy policies and procedures that identify the purpose(s) for which personal information is collected, used, retained, and disclosed?</v>
      </c>
      <c r="C98" s="199" t="str">
        <f aca="false">VLOOKUP($A98,Privacy!$A$13:$E$97,3,0)&amp;""</f>
        <v>No</v>
      </c>
      <c r="D98" s="68" t="str">
        <f aca="false">IF(LEFT(VLOOKUP($A98,Privacy!$A$13:$E$97,5,0),21)='Auto Responses'!$A$32,'Auto Responses'!$A$33,VLOOKUP($A98,Privacy!$A$13:$E$97,4,0))&amp;""</f>
        <v>NA</v>
      </c>
      <c r="E98" s="206" t="str">
        <f aca="false">VLOOKUP($A98,Privacy!$A$13:$E$97,5,0)&amp;""</f>
        <v>Explain why not</v>
      </c>
      <c r="F98" s="209"/>
      <c r="G98" s="197" t="str">
        <f aca="false">VLOOKUP($A98,Questions!$A$2:$X$333,21,0)&amp;""</f>
        <v>Yes</v>
      </c>
      <c r="H98" s="198"/>
      <c r="I98" s="199" t="str">
        <f aca="false">VLOOKUP($A98,Questions!$A$2:$X$333,23,0)&amp;""</f>
        <v>Standard Importance</v>
      </c>
      <c r="J98" s="198"/>
      <c r="K98" s="200" t="b">
        <f aca="false">FALSE()</f>
        <v>0</v>
      </c>
      <c r="L98" s="1"/>
    </row>
    <row r="99" s="176" customFormat="true" ht="65.25" hidden="false" customHeight="true" outlineLevel="0" collapsed="false">
      <c r="A99" s="35" t="s">
        <v>390</v>
      </c>
      <c r="B99" s="45" t="str">
        <f aca="false">VLOOKUP($A99,Questions!$A$2:$X$333,2,0)</f>
        <v>Do you describe the choices available to the individual and obtain implicit or explicit consent with respect to the collection, use, and disclosure of personal information?</v>
      </c>
      <c r="C99" s="199" t="str">
        <f aca="false">VLOOKUP($A99,Privacy!$A$13:$E$97,3,0)&amp;""</f>
        <v>No</v>
      </c>
      <c r="D99" s="68" t="str">
        <f aca="false">IF(LEFT(VLOOKUP($A99,Privacy!$A$13:$E$97,5,0),21)='Auto Responses'!$A$32,'Auto Responses'!$A$33,VLOOKUP($A99,Privacy!$A$13:$E$97,4,0))&amp;""</f>
        <v>NA</v>
      </c>
      <c r="E99" s="206" t="str">
        <f aca="false">VLOOKUP($A99,Privacy!$A$13:$E$97,5,0)&amp;""</f>
        <v>Explain why not</v>
      </c>
      <c r="F99" s="209"/>
      <c r="G99" s="197" t="str">
        <f aca="false">VLOOKUP($A99,Questions!$A$2:$X$333,21,0)&amp;""</f>
        <v>Yes</v>
      </c>
      <c r="H99" s="198"/>
      <c r="I99" s="199" t="str">
        <f aca="false">VLOOKUP($A99,Questions!$A$2:$X$333,23,0)&amp;""</f>
        <v>Standard Importance</v>
      </c>
      <c r="J99" s="198"/>
      <c r="K99" s="200" t="b">
        <f aca="false">FALSE()</f>
        <v>0</v>
      </c>
      <c r="L99" s="1"/>
    </row>
    <row r="100" s="176" customFormat="true" ht="69.75" hidden="false" customHeight="true" outlineLevel="0" collapsed="false">
      <c r="A100" s="35" t="s">
        <v>391</v>
      </c>
      <c r="B100" s="45" t="str">
        <f aca="false">VLOOKUP($A100,Questions!$A$2:$X$333,2,0)</f>
        <v>Do you collect personal information only for the purpose(s) identified in the agreement with an institution or, if there is none, the purpose(s) identified in the privacy notice?</v>
      </c>
      <c r="C100" s="199" t="str">
        <f aca="false">VLOOKUP($A100,Privacy!$A$13:$E$97,3,0)&amp;""</f>
        <v>No</v>
      </c>
      <c r="D100" s="68" t="str">
        <f aca="false">IF(LEFT(VLOOKUP($A100,Privacy!$A$13:$E$97,5,0),21)='Auto Responses'!$A$32,'Auto Responses'!$A$33,VLOOKUP($A100,Privacy!$A$13:$E$97,4,0))&amp;""</f>
        <v>NA</v>
      </c>
      <c r="E100" s="206" t="str">
        <f aca="false">VLOOKUP($A100,Privacy!$A$13:$E$97,5,0)&amp;""</f>
        <v>Explain why not</v>
      </c>
      <c r="F100" s="209"/>
      <c r="G100" s="197" t="str">
        <f aca="false">VLOOKUP($A100,Questions!$A$2:$X$333,21,0)&amp;""</f>
        <v>Yes</v>
      </c>
      <c r="H100" s="198"/>
      <c r="I100" s="199" t="str">
        <f aca="false">VLOOKUP($A100,Questions!$A$2:$X$333,23,0)&amp;""</f>
        <v>Standard Importance</v>
      </c>
      <c r="J100" s="198"/>
      <c r="K100" s="200" t="b">
        <f aca="false">FALSE()</f>
        <v>0</v>
      </c>
      <c r="L100" s="1"/>
    </row>
    <row r="101" s="176" customFormat="true" ht="48" hidden="false" customHeight="true" outlineLevel="0" collapsed="false">
      <c r="A101" s="35" t="s">
        <v>392</v>
      </c>
      <c r="B101" s="45" t="str">
        <f aca="false">VLOOKUP($A101,Questions!$A$2:$X$333,2,0)</f>
        <v>Do you have a documented list of personal data your service maintains?</v>
      </c>
      <c r="C101" s="199" t="str">
        <f aca="false">VLOOKUP($A101,Privacy!$A$13:$E$97,3,0)&amp;""</f>
        <v>No</v>
      </c>
      <c r="D101" s="68" t="str">
        <f aca="false">IF(LEFT(VLOOKUP($A101,Privacy!$A$13:$E$97,5,0),21)='Auto Responses'!$A$32,'Auto Responses'!$A$33,VLOOKUP($A101,Privacy!$A$13:$E$97,4,0))&amp;""</f>
        <v>NA</v>
      </c>
      <c r="E101" s="206" t="str">
        <f aca="false">VLOOKUP($A101,Privacy!$A$13:$E$97,5,0)&amp;""</f>
        <v>Explain why not</v>
      </c>
      <c r="F101" s="209"/>
      <c r="G101" s="197" t="str">
        <f aca="false">VLOOKUP($A101,Questions!$A$2:$X$333,21,0)&amp;""</f>
        <v>Yes</v>
      </c>
      <c r="H101" s="198"/>
      <c r="I101" s="199" t="str">
        <f aca="false">VLOOKUP($A101,Questions!$A$2:$X$333,23,0)&amp;""</f>
        <v>Standard Importance</v>
      </c>
      <c r="J101" s="198"/>
      <c r="K101" s="200" t="b">
        <f aca="false">FALSE()</f>
        <v>0</v>
      </c>
      <c r="L101" s="1"/>
    </row>
    <row r="102" s="176" customFormat="true" ht="66.75" hidden="false" customHeight="true" outlineLevel="0" collapsed="false">
      <c r="A102" s="35" t="s">
        <v>393</v>
      </c>
      <c r="B102" s="45" t="str">
        <f aca="false">VLOOKUP($A102,Questions!$A$2:$X$333,2,0)</f>
        <v>Do you retain personal information for only as long as necessary to fulfill the stated purpose(s) or as required by law or regulation and thereafter appropriately dispose of such information?</v>
      </c>
      <c r="C102" s="199" t="str">
        <f aca="false">VLOOKUP($A102,Privacy!$A$13:$E$97,3,0)&amp;""</f>
        <v>No</v>
      </c>
      <c r="D102" s="68" t="str">
        <f aca="false">IF(LEFT(VLOOKUP($A102,Privacy!$A$13:$E$97,5,0),21)='Auto Responses'!$A$32,'Auto Responses'!$A$33,VLOOKUP($A102,Privacy!$A$13:$E$97,4,0))&amp;""</f>
        <v>NA</v>
      </c>
      <c r="E102" s="206" t="str">
        <f aca="false">VLOOKUP($A102,Privacy!$A$13:$E$97,5,0)&amp;""</f>
        <v>Briefly outline data retention policies that do not align with regulations.</v>
      </c>
      <c r="F102" s="209"/>
      <c r="G102" s="197" t="str">
        <f aca="false">VLOOKUP($A102,Questions!$A$2:$X$333,21,0)&amp;""</f>
        <v>Yes</v>
      </c>
      <c r="H102" s="198"/>
      <c r="I102" s="199" t="str">
        <f aca="false">VLOOKUP($A102,Questions!$A$2:$X$333,23,0)&amp;""</f>
        <v>Standard Importance</v>
      </c>
      <c r="J102" s="198"/>
      <c r="K102" s="200" t="b">
        <f aca="false">FALSE()</f>
        <v>0</v>
      </c>
      <c r="L102" s="1"/>
    </row>
    <row r="103" s="176" customFormat="true" ht="51" hidden="false" customHeight="true" outlineLevel="0" collapsed="false">
      <c r="A103" s="35" t="s">
        <v>394</v>
      </c>
      <c r="B103" s="45" t="str">
        <f aca="false">VLOOKUP($A103,Questions!$A$2:$X$333,2,0)</f>
        <v>Do you provide individuals with access to their personal information for review and update (i.e., data subject rights)?</v>
      </c>
      <c r="C103" s="199" t="str">
        <f aca="false">VLOOKUP($A103,Privacy!$A$13:$E$97,3,0)&amp;""</f>
        <v>No</v>
      </c>
      <c r="D103" s="68" t="str">
        <f aca="false">IF(LEFT(VLOOKUP($A103,Privacy!$A$13:$E$97,5,0),21)='Auto Responses'!$A$32,'Auto Responses'!$A$33,VLOOKUP($A103,Privacy!$A$13:$E$97,4,0))&amp;""</f>
        <v>NA</v>
      </c>
      <c r="E103" s="206" t="str">
        <f aca="false">VLOOKUP($A103,Privacy!$A$13:$E$97,5,0)&amp;""</f>
        <v>Such processes would include descriptions of request processes individuals can follow to review thier information and written processes a data subject may use to ask for changes or corrections to data held about them.</v>
      </c>
      <c r="F103" s="209"/>
      <c r="G103" s="197" t="str">
        <f aca="false">VLOOKUP($A103,Questions!$A$2:$X$333,21,0)&amp;""</f>
        <v>Yes</v>
      </c>
      <c r="H103" s="198"/>
      <c r="I103" s="199" t="str">
        <f aca="false">VLOOKUP($A103,Questions!$A$2:$X$333,23,0)&amp;""</f>
        <v>Standard Importance</v>
      </c>
      <c r="J103" s="198"/>
      <c r="K103" s="200" t="b">
        <f aca="false">FALSE()</f>
        <v>0</v>
      </c>
      <c r="L103" s="1"/>
    </row>
    <row r="104" s="176" customFormat="true" ht="101.25" hidden="false" customHeight="true" outlineLevel="0" collapsed="false">
      <c r="A104" s="35" t="s">
        <v>395</v>
      </c>
      <c r="B104" s="45" t="str">
        <f aca="false">VLOOKUP($A104,Questions!$A$2:$X$333,2,0)</f>
        <v>Do you disclose personal information to third parties only for the purpose(s) identified in the privacy notice or with the implicit or explicit consent of the individual?</v>
      </c>
      <c r="C104" s="199" t="str">
        <f aca="false">VLOOKUP($A104,Privacy!$A$13:$E$97,3,0)&amp;""</f>
        <v>No</v>
      </c>
      <c r="D104" s="68" t="str">
        <f aca="false">IF(LEFT(VLOOKUP($A104,Privacy!$A$13:$E$97,5,0),21)='Auto Responses'!$A$32,'Auto Responses'!$A$33,VLOOKUP($A104,Privacy!$A$13:$E$97,4,0))&amp;""</f>
        <v>NA</v>
      </c>
      <c r="E104" s="206" t="str">
        <f aca="false">VLOOKUP($A104,Privacy!$A$13:$E$97,5,0)&amp;""</f>
        <v/>
      </c>
      <c r="F104" s="209"/>
      <c r="G104" s="197" t="str">
        <f aca="false">VLOOKUP($A104,Questions!$A$2:$X$333,21,0)&amp;""</f>
        <v>Yes</v>
      </c>
      <c r="H104" s="198"/>
      <c r="I104" s="199" t="str">
        <f aca="false">VLOOKUP($A104,Questions!$A$2:$X$333,23,0)&amp;""</f>
        <v>Standard Importance</v>
      </c>
      <c r="J104" s="198"/>
      <c r="K104" s="200" t="b">
        <f aca="false">FALSE()</f>
        <v>0</v>
      </c>
      <c r="L104" s="1"/>
    </row>
    <row r="105" s="1" customFormat="true" ht="48" hidden="false" customHeight="true" outlineLevel="0" collapsed="false">
      <c r="A105" s="35" t="s">
        <v>396</v>
      </c>
      <c r="B105" s="45" t="str">
        <f aca="false">VLOOKUP($A105,Questions!$A$2:$X$333,2,0)</f>
        <v>Do you protect personal information against unauthorized access (both physical and logical)?</v>
      </c>
      <c r="C105" s="199" t="str">
        <f aca="false">VLOOKUP($A105,Privacy!$A$13:$E$97,3,0)&amp;""</f>
        <v>No</v>
      </c>
      <c r="D105" s="68" t="str">
        <f aca="false">IF(LEFT(VLOOKUP($A105,Privacy!$A$13:$E$97,5,0),21)='Auto Responses'!$A$32,'Auto Responses'!$A$33,VLOOKUP($A105,Privacy!$A$13:$E$97,4,0))&amp;""</f>
        <v>NA</v>
      </c>
      <c r="E105" s="206" t="str">
        <f aca="false">VLOOKUP($A105,Privacy!$A$13:$E$97,5,0)&amp;""</f>
        <v/>
      </c>
      <c r="F105" s="209"/>
      <c r="G105" s="197" t="str">
        <f aca="false">VLOOKUP($A105,Questions!$A$2:$X$333,21,0)&amp;""</f>
        <v>Yes</v>
      </c>
      <c r="H105" s="198"/>
      <c r="I105" s="199" t="str">
        <f aca="false">VLOOKUP($A105,Questions!$A$2:$X$333,23,0)&amp;""</f>
        <v>Standard Importance</v>
      </c>
      <c r="J105" s="198"/>
      <c r="K105" s="200" t="b">
        <f aca="false">FALSE()</f>
        <v>0</v>
      </c>
      <c r="M105" s="176"/>
      <c r="N105" s="176"/>
    </row>
    <row r="106" s="176" customFormat="true" ht="48" hidden="false" customHeight="true" outlineLevel="0" collapsed="false">
      <c r="A106" s="35" t="s">
        <v>397</v>
      </c>
      <c r="B106" s="45" t="str">
        <f aca="false">VLOOKUP($A106,Questions!$A$2:$X$333,2,0)</f>
        <v>Do you maintain accurate, complete, and relevant personal information for the purposes identified in the privacy notice?</v>
      </c>
      <c r="C106" s="199" t="str">
        <f aca="false">VLOOKUP($A106,Privacy!$A$13:$E$97,3,0)&amp;""</f>
        <v>No</v>
      </c>
      <c r="D106" s="68" t="str">
        <f aca="false">IF(LEFT(VLOOKUP($A106,Privacy!$A$13:$E$97,5,0),21)='Auto Responses'!$A$32,'Auto Responses'!$A$33,VLOOKUP($A106,Privacy!$A$13:$E$97,4,0))&amp;""</f>
        <v>NA</v>
      </c>
      <c r="E106" s="206" t="str">
        <f aca="false">VLOOKUP($A106,Privacy!$A$13:$E$97,5,0)&amp;""</f>
        <v/>
      </c>
      <c r="F106" s="209"/>
      <c r="G106" s="197" t="str">
        <f aca="false">VLOOKUP($A106,Questions!$A$2:$X$333,21,0)&amp;""</f>
        <v>Yes</v>
      </c>
      <c r="H106" s="198"/>
      <c r="I106" s="199" t="str">
        <f aca="false">VLOOKUP($A106,Questions!$A$2:$X$333,23,0)&amp;""</f>
        <v>Standard Importance</v>
      </c>
      <c r="J106" s="198"/>
      <c r="K106" s="200" t="b">
        <f aca="false">FALSE()</f>
        <v>0</v>
      </c>
      <c r="L106" s="1"/>
    </row>
    <row r="107" s="176" customFormat="true" ht="48" hidden="false" customHeight="true" outlineLevel="0" collapsed="false">
      <c r="A107" s="35" t="s">
        <v>398</v>
      </c>
      <c r="B107" s="45" t="str">
        <f aca="false">VLOOKUP($A107,Questions!$A$2:$X$333,2,0)</f>
        <v>Do you have procedures to address privacy-related noncompliance complaints and disputes?</v>
      </c>
      <c r="C107" s="199" t="str">
        <f aca="false">VLOOKUP($A107,Privacy!$A$13:$E$97,3,0)&amp;""</f>
        <v>No</v>
      </c>
      <c r="D107" s="68" t="str">
        <f aca="false">IF(LEFT(VLOOKUP($A107,Privacy!$A$13:$E$97,5,0),21)='Auto Responses'!$A$32,'Auto Responses'!$A$33,VLOOKUP($A107,Privacy!$A$13:$E$97,4,0))&amp;""</f>
        <v>NA</v>
      </c>
      <c r="E107" s="206" t="str">
        <f aca="false">VLOOKUP($A107,Privacy!$A$13:$E$97,5,0)&amp;""</f>
        <v/>
      </c>
      <c r="F107" s="209"/>
      <c r="G107" s="197" t="str">
        <f aca="false">VLOOKUP($A107,Questions!$A$2:$X$333,21,0)&amp;""</f>
        <v>Yes</v>
      </c>
      <c r="H107" s="198"/>
      <c r="I107" s="199" t="str">
        <f aca="false">VLOOKUP($A107,Questions!$A$2:$X$333,23,0)&amp;""</f>
        <v>Standard Importance</v>
      </c>
      <c r="J107" s="198"/>
      <c r="K107" s="200" t="b">
        <f aca="false">FALSE()</f>
        <v>0</v>
      </c>
      <c r="L107" s="1"/>
    </row>
    <row r="108" s="176" customFormat="true" ht="48" hidden="false" customHeight="true" outlineLevel="0" collapsed="false">
      <c r="A108" s="35" t="s">
        <v>399</v>
      </c>
      <c r="B108" s="45" t="str">
        <f aca="false">VLOOKUP($A108,Questions!$A$2:$X$333,2,0)</f>
        <v>Do you "anonymize," "de-identify," or otherwise mask personal data?</v>
      </c>
      <c r="C108" s="199" t="str">
        <f aca="false">VLOOKUP($A108,Privacy!$A$13:$E$97,3,0)&amp;""</f>
        <v>No</v>
      </c>
      <c r="D108" s="68" t="str">
        <f aca="false">IF(LEFT(VLOOKUP($A108,Privacy!$A$13:$E$97,5,0),21)='Auto Responses'!$A$32,'Auto Responses'!$A$33,VLOOKUP($A108,Privacy!$A$13:$E$97,4,0))&amp;""</f>
        <v>NA</v>
      </c>
      <c r="E108" s="206" t="str">
        <f aca="false">VLOOKUP($A108,Privacy!$A$13:$E$97,5,0)&amp;""</f>
        <v/>
      </c>
      <c r="F108" s="209"/>
      <c r="G108" s="197" t="str">
        <f aca="false">VLOOKUP($A108,Questions!$A$2:$X$333,21,0)&amp;""</f>
        <v>Yes</v>
      </c>
      <c r="H108" s="198"/>
      <c r="I108" s="199" t="str">
        <f aca="false">VLOOKUP($A108,Questions!$A$2:$X$333,23,0)&amp;""</f>
        <v>Standard Importance</v>
      </c>
      <c r="J108" s="198"/>
      <c r="K108" s="200" t="b">
        <f aca="false">FALSE()</f>
        <v>0</v>
      </c>
      <c r="L108" s="1"/>
    </row>
    <row r="109" s="176" customFormat="true" ht="104.25" hidden="false" customHeight="true" outlineLevel="0" collapsed="false">
      <c r="A109" s="35" t="s">
        <v>400</v>
      </c>
      <c r="B109" s="45" t="str">
        <f aca="false">VLOOKUP($A109,Questions!$A$2:$X$333,2,0)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109" s="199" t="str">
        <f aca="false">VLOOKUP($A109,Privacy!$A$13:$E$97,3,0)&amp;""</f>
        <v>No</v>
      </c>
      <c r="D109" s="68" t="str">
        <f aca="false">IF(LEFT(VLOOKUP($A109,Privacy!$A$13:$E$97,5,0),21)='Auto Responses'!$A$32,'Auto Responses'!$A$33,VLOOKUP($A109,Privacy!$A$13:$E$97,4,0))&amp;""</f>
        <v>NA</v>
      </c>
      <c r="E109" s="206" t="str">
        <f aca="false">VLOOKUP($A109,Privacy!$A$13:$E$97,5,0)&amp;""</f>
        <v/>
      </c>
      <c r="F109" s="209"/>
      <c r="G109" s="197" t="str">
        <f aca="false">VLOOKUP($A109,Questions!$A$2:$X$333,21,0)&amp;""</f>
        <v>No</v>
      </c>
      <c r="H109" s="198"/>
      <c r="I109" s="199" t="str">
        <f aca="false">VLOOKUP($A109,Questions!$A$2:$X$333,23,0)&amp;""</f>
        <v>Standard Importance</v>
      </c>
      <c r="J109" s="198"/>
      <c r="K109" s="200" t="b">
        <f aca="false">FALSE()</f>
        <v>0</v>
      </c>
      <c r="L109" s="1"/>
    </row>
    <row r="110" s="176" customFormat="true" ht="48" hidden="false" customHeight="true" outlineLevel="0" collapsed="false">
      <c r="A110" s="35" t="s">
        <v>401</v>
      </c>
      <c r="B110" s="45" t="str">
        <f aca="false">VLOOKUP($A110,Questions!$A$2:$X$333,2,0)</f>
        <v>Do you certify stop-processing requests, including any data that is processed by a third party on your behalf?</v>
      </c>
      <c r="C110" s="199" t="str">
        <f aca="false">VLOOKUP($A110,Privacy!$A$13:$E$97,3,0)&amp;""</f>
        <v>No</v>
      </c>
      <c r="D110" s="68" t="str">
        <f aca="false">IF(LEFT(VLOOKUP($A110,Privacy!$A$13:$E$97,5,0),21)='Auto Responses'!$A$32,'Auto Responses'!$A$33,VLOOKUP($A110,Privacy!$A$13:$E$97,4,0))&amp;""</f>
        <v>NA</v>
      </c>
      <c r="E110" s="206" t="str">
        <f aca="false">VLOOKUP($A110,Privacy!$A$13:$E$97,5,0)&amp;""</f>
        <v>Provide evidence of existing processes or policies. The internal privacy policy should explain your organization's policies and practices regarding the collection of personal information and other data about individuals.</v>
      </c>
      <c r="F110" s="209"/>
      <c r="G110" s="197" t="str">
        <f aca="false">VLOOKUP($A110,Questions!$A$2:$X$333,21,0)&amp;""</f>
        <v>Yes</v>
      </c>
      <c r="H110" s="198"/>
      <c r="I110" s="199" t="str">
        <f aca="false">VLOOKUP($A110,Questions!$A$2:$X$333,23,0)&amp;""</f>
        <v>Standard Importance</v>
      </c>
      <c r="J110" s="198"/>
      <c r="K110" s="200" t="b">
        <f aca="false">FALSE()</f>
        <v>0</v>
      </c>
      <c r="L110" s="1"/>
    </row>
    <row r="111" s="176" customFormat="true" ht="48" hidden="false" customHeight="true" outlineLevel="0" collapsed="false">
      <c r="A111" s="35" t="s">
        <v>402</v>
      </c>
      <c r="B111" s="45" t="str">
        <f aca="false">VLOOKUP($A111,Questions!$A$2:$X$333,2,0)</f>
        <v>Do you have a process to review code for ethical considerations?</v>
      </c>
      <c r="C111" s="199" t="str">
        <f aca="false">VLOOKUP($A111,Privacy!$A$13:$E$97,3,0)&amp;""</f>
        <v>No</v>
      </c>
      <c r="D111" s="68" t="str">
        <f aca="false">IF(LEFT(VLOOKUP($A111,Privacy!$A$13:$E$97,5,0),21)='Auto Responses'!$A$32,'Auto Responses'!$A$33,VLOOKUP($A111,Privacy!$A$13:$E$97,4,0))&amp;""</f>
        <v>NA</v>
      </c>
      <c r="E111" s="206" t="str">
        <f aca="false">VLOOKUP($A111,Privacy!$A$13:$E$97,5,0)&amp;""</f>
        <v/>
      </c>
      <c r="F111" s="209"/>
      <c r="G111" s="197" t="str">
        <f aca="false">VLOOKUP($A111,Questions!$A$2:$X$333,21,0)&amp;""</f>
        <v>Yes</v>
      </c>
      <c r="H111" s="198"/>
      <c r="I111" s="199" t="str">
        <f aca="false">VLOOKUP($A111,Questions!$A$2:$X$333,23,0)&amp;""</f>
        <v>Standard Importance</v>
      </c>
      <c r="J111" s="198"/>
      <c r="K111" s="200" t="b">
        <f aca="false">FALSE()</f>
        <v>0</v>
      </c>
      <c r="L111" s="1"/>
    </row>
    <row r="112" s="176" customFormat="true" ht="36.75" hidden="false" customHeight="true" outlineLevel="0" collapsed="false">
      <c r="A112" s="31" t="str">
        <f aca="false">VLOOKUP(LEFT($A113,4),'Auto Responses'!$N$4:$O$38,2,0)&amp;""</f>
        <v> Privacy and AI</v>
      </c>
      <c r="B112" s="42"/>
      <c r="C112" s="43"/>
      <c r="D112" s="43"/>
      <c r="E112" s="204"/>
      <c r="F112" s="192" t="s">
        <v>454</v>
      </c>
      <c r="G112" s="201" t="s">
        <v>449</v>
      </c>
      <c r="H112" s="201" t="s">
        <v>450</v>
      </c>
      <c r="I112" s="201" t="s">
        <v>451</v>
      </c>
      <c r="J112" s="201" t="s">
        <v>452</v>
      </c>
      <c r="K112" s="43"/>
      <c r="L112" s="1"/>
      <c r="M112" s="1"/>
      <c r="N112" s="1"/>
    </row>
    <row r="113" s="176" customFormat="true" ht="48" hidden="false" customHeight="true" outlineLevel="0" collapsed="false">
      <c r="A113" s="35" t="s">
        <v>403</v>
      </c>
      <c r="B113" s="45" t="str">
        <f aca="false">VLOOKUP($A113,Questions!$A$2:$X$333,2,0)</f>
        <v>Does your service use AI for the processing of institutional data?</v>
      </c>
      <c r="C113" s="199" t="str">
        <f aca="false">VLOOKUP($A113,Privacy!$A$13:$E$97,3,0)&amp;""</f>
        <v/>
      </c>
      <c r="D113" s="68" t="str">
        <f aca="false">IF(LEFT(VLOOKUP($A113,Privacy!$A$13:$E$97,5,0),21)='Auto Responses'!$A$32,'Auto Responses'!$A$33,VLOOKUP($A113,Privacy!$A$13:$E$97,4,0))&amp;""</f>
        <v>This question does not apply.</v>
      </c>
      <c r="E113" s="206" t="str">
        <f aca="false">VLOOKUP($A113,Privacy!$A$13:$E$97,5,0)&amp;""</f>
        <v>Based on the response to REQU-04 on the "START HERE" tab, this question does not apply to this product or service.</v>
      </c>
      <c r="F113" s="209"/>
      <c r="G113" s="197" t="str">
        <f aca="false">VLOOKUP($A113,Questions!$A$2:$X$333,21,0)&amp;""</f>
        <v>No</v>
      </c>
      <c r="H113" s="198"/>
      <c r="I113" s="199" t="str">
        <f aca="false">VLOOKUP($A113,Questions!$A$2:$X$333,23,0)&amp;""</f>
        <v>Standard Importance</v>
      </c>
      <c r="J113" s="198"/>
      <c r="K113" s="200" t="b">
        <f aca="false">FALSE()</f>
        <v>0</v>
      </c>
      <c r="L113" s="1"/>
    </row>
    <row r="114" customFormat="false" ht="48" hidden="false" customHeight="true" outlineLevel="0" collapsed="false">
      <c r="A114" s="35" t="s">
        <v>404</v>
      </c>
      <c r="B114" s="45" t="str">
        <f aca="false">VLOOKUP($A114,Questions!$A$2:$X$333,2,0)</f>
        <v>Is any institutional data retained in AI processing?*</v>
      </c>
      <c r="C114" s="199" t="str">
        <f aca="false">VLOOKUP($A114,Privacy!$A$13:$E$97,3,0)&amp;""</f>
        <v/>
      </c>
      <c r="D114" s="68" t="str">
        <f aca="false">IF(LEFT(VLOOKUP($A114,Privacy!$A$13:$E$97,5,0),21)='Auto Responses'!$A$32,'Auto Responses'!$A$33,VLOOKUP($A114,Privacy!$A$13:$E$97,4,0))&amp;""</f>
        <v>This question does not apply.</v>
      </c>
      <c r="E114" s="206" t="str">
        <f aca="false">VLOOKUP($A114,Privacy!$A$13:$E$97,5,0)&amp;""</f>
        <v>Based on the response to REQU-04 on the "START HERE" tab, this question does not apply to this product or service.</v>
      </c>
      <c r="F114" s="209"/>
      <c r="G114" s="197" t="str">
        <f aca="false">VLOOKUP($A114,Questions!$A$2:$X$333,21,0)&amp;""</f>
        <v>No</v>
      </c>
      <c r="H114" s="198"/>
      <c r="I114" s="199" t="str">
        <f aca="false">VLOOKUP($A114,Questions!$A$2:$X$333,23,0)&amp;""</f>
        <v>Critical Importance</v>
      </c>
      <c r="J114" s="198"/>
      <c r="K114" s="200" t="b">
        <f aca="false">FALSE()</f>
        <v>0</v>
      </c>
      <c r="L114" s="1"/>
      <c r="M114" s="176"/>
      <c r="N114" s="176"/>
    </row>
    <row r="115" customFormat="false" ht="48" hidden="false" customHeight="true" outlineLevel="0" collapsed="false">
      <c r="A115" s="35" t="s">
        <v>405</v>
      </c>
      <c r="B115" s="45" t="str">
        <f aca="false">VLOOKUP($A115,Questions!$A$2:$X$333,2,0)</f>
        <v>Do you have agreements in place with third parties or subprocessors regarding the protection of customer data and use of AI?*</v>
      </c>
      <c r="C115" s="199" t="str">
        <f aca="false">VLOOKUP($A115,Privacy!$A$13:$E$97,3,0)&amp;""</f>
        <v/>
      </c>
      <c r="D115" s="68" t="str">
        <f aca="false">IF(LEFT(VLOOKUP($A115,Privacy!$A$13:$E$97,5,0),21)='Auto Responses'!$A$32,'Auto Responses'!$A$33,VLOOKUP($A115,Privacy!$A$13:$E$97,4,0))&amp;""</f>
        <v>This question does not apply.</v>
      </c>
      <c r="E115" s="206" t="str">
        <f aca="false">VLOOKUP($A115,Privacy!$A$13:$E$97,5,0)&amp;""</f>
        <v>Based on the response to REQU-04 on the "START HERE" tab, this question does not apply to this product or service.</v>
      </c>
      <c r="F115" s="209"/>
      <c r="G115" s="197" t="str">
        <f aca="false">VLOOKUP($A115,Questions!$A$2:$X$333,21,0)&amp;""</f>
        <v>Yes</v>
      </c>
      <c r="H115" s="198"/>
      <c r="I115" s="199" t="str">
        <f aca="false">VLOOKUP($A115,Questions!$A$2:$X$333,23,0)&amp;""</f>
        <v>Critical Importance</v>
      </c>
      <c r="J115" s="198"/>
      <c r="K115" s="200" t="b">
        <f aca="false">FALSE()</f>
        <v>0</v>
      </c>
      <c r="L115" s="1"/>
      <c r="M115" s="176"/>
      <c r="N115" s="176"/>
    </row>
    <row r="116" s="1" customFormat="true" ht="48" hidden="false" customHeight="true" outlineLevel="0" collapsed="false">
      <c r="A116" s="35" t="s">
        <v>406</v>
      </c>
      <c r="B116" s="45" t="str">
        <f aca="false">VLOOKUP($A116,Questions!$A$2:$X$333,2,0)</f>
        <v>Will institutional data be processed through a third party or subprocessor that also uses AI?</v>
      </c>
      <c r="C116" s="199" t="str">
        <f aca="false">VLOOKUP($A116,Privacy!$A$13:$E$97,3,0)&amp;""</f>
        <v/>
      </c>
      <c r="D116" s="68" t="str">
        <f aca="false">IF(LEFT(VLOOKUP($A116,Privacy!$A$13:$E$97,5,0),21)='Auto Responses'!$A$32,'Auto Responses'!$A$33,VLOOKUP($A116,Privacy!$A$13:$E$97,4,0))&amp;""</f>
        <v>This question does not apply.</v>
      </c>
      <c r="E116" s="206" t="str">
        <f aca="false">VLOOKUP($A116,Privacy!$A$13:$E$97,5,0)&amp;""</f>
        <v>Based on the response to REQU-04 on the "START HERE" tab, this question does not apply to this product or service.</v>
      </c>
      <c r="F116" s="209"/>
      <c r="G116" s="197" t="str">
        <f aca="false">VLOOKUP($A116,Questions!$A$2:$X$333,21,0)&amp;""</f>
        <v>No</v>
      </c>
      <c r="H116" s="198"/>
      <c r="I116" s="199" t="str">
        <f aca="false">VLOOKUP($A116,Questions!$A$2:$X$333,23,0)&amp;""</f>
        <v>Standard Importance</v>
      </c>
      <c r="J116" s="198"/>
      <c r="K116" s="200" t="b">
        <f aca="false">FALSE()</f>
        <v>0</v>
      </c>
      <c r="M116" s="176"/>
      <c r="N116" s="176"/>
    </row>
    <row r="117" s="176" customFormat="true" ht="48" hidden="false" customHeight="true" outlineLevel="0" collapsed="false">
      <c r="A117" s="35" t="s">
        <v>407</v>
      </c>
      <c r="B117" s="45" t="str">
        <f aca="false">VLOOKUP($A117,Questions!$A$2:$X$333,2,0)</f>
        <v>Is AI processing limited to fully licensed commercial enterprise AI services?</v>
      </c>
      <c r="C117" s="199" t="str">
        <f aca="false">VLOOKUP($A117,Privacy!$A$13:$E$97,3,0)&amp;""</f>
        <v/>
      </c>
      <c r="D117" s="68" t="str">
        <f aca="false">IF(LEFT(VLOOKUP($A117,Privacy!$A$13:$E$97,5,0),21)='Auto Responses'!$A$32,'Auto Responses'!$A$33,VLOOKUP($A117,Privacy!$A$13:$E$97,4,0))&amp;""</f>
        <v>This question does not apply.</v>
      </c>
      <c r="E117" s="206" t="str">
        <f aca="false">VLOOKUP($A117,Privacy!$A$13:$E$97,5,0)&amp;""</f>
        <v>Based on the response to REQU-04 on the "START HERE" tab, this question does not apply to this product or service.</v>
      </c>
      <c r="F117" s="209"/>
      <c r="G117" s="197" t="str">
        <f aca="false">VLOOKUP($A117,Questions!$A$2:$X$333,21,0)&amp;""</f>
        <v>Yes</v>
      </c>
      <c r="H117" s="198"/>
      <c r="I117" s="199" t="str">
        <f aca="false">VLOOKUP($A117,Questions!$A$2:$X$333,23,0)&amp;""</f>
        <v>Minor Importance</v>
      </c>
      <c r="J117" s="198"/>
      <c r="K117" s="200" t="b">
        <f aca="false">FALSE()</f>
        <v>0</v>
      </c>
      <c r="L117" s="1"/>
    </row>
    <row r="118" s="1" customFormat="true" ht="48" hidden="false" customHeight="true" outlineLevel="0" collapsed="false">
      <c r="A118" s="35" t="s">
        <v>408</v>
      </c>
      <c r="B118" s="45" t="str">
        <f aca="false">VLOOKUP($A118,Questions!$A$2:$X$333,2,0)</f>
        <v>Will institutional data be used or processed by any shared AI services?</v>
      </c>
      <c r="C118" s="199" t="str">
        <f aca="false">VLOOKUP($A118,Privacy!$A$13:$E$97,3,0)&amp;""</f>
        <v/>
      </c>
      <c r="D118" s="68" t="str">
        <f aca="false">IF(LEFT(VLOOKUP($A118,Privacy!$A$13:$E$97,5,0),21)='Auto Responses'!$A$32,'Auto Responses'!$A$33,VLOOKUP($A118,Privacy!$A$13:$E$97,4,0))&amp;""</f>
        <v>This question does not apply.</v>
      </c>
      <c r="E118" s="206" t="str">
        <f aca="false">VLOOKUP($A118,Privacy!$A$13:$E$97,5,0)&amp;""</f>
        <v>Based on the response to REQU-04 on the "START HERE" tab, this question does not apply to this product or service.</v>
      </c>
      <c r="F118" s="209"/>
      <c r="G118" s="197" t="str">
        <f aca="false">VLOOKUP($A118,Questions!$A$2:$X$333,21,0)&amp;""</f>
        <v>No</v>
      </c>
      <c r="H118" s="198"/>
      <c r="I118" s="199" t="str">
        <f aca="false">VLOOKUP($A118,Questions!$A$2:$X$333,23,0)&amp;""</f>
        <v>Minor Importance</v>
      </c>
      <c r="J118" s="198"/>
      <c r="K118" s="200" t="b">
        <f aca="false">FALSE()</f>
        <v>0</v>
      </c>
      <c r="M118" s="176"/>
      <c r="N118" s="176"/>
    </row>
    <row r="119" s="176" customFormat="true" ht="48" hidden="false" customHeight="true" outlineLevel="0" collapsed="false">
      <c r="A119" s="35" t="s">
        <v>409</v>
      </c>
      <c r="B119" s="45" t="str">
        <f aca="false">VLOOKUP($A119,Questions!$A$2:$X$333,2,0)</f>
        <v>Do you have safeguards in place to protect institutional data and data privacy from unintended AI queries or processing?</v>
      </c>
      <c r="C119" s="199" t="str">
        <f aca="false">VLOOKUP($A119,Privacy!$A$13:$E$97,3,0)&amp;""</f>
        <v/>
      </c>
      <c r="D119" s="68" t="str">
        <f aca="false">IF(LEFT(VLOOKUP($A119,Privacy!$A$13:$E$97,5,0),21)='Auto Responses'!$A$32,'Auto Responses'!$A$33,VLOOKUP($A119,Privacy!$A$13:$E$97,4,0))&amp;""</f>
        <v>This question does not apply.</v>
      </c>
      <c r="E119" s="206" t="str">
        <f aca="false">VLOOKUP($A119,Privacy!$A$13:$E$97,5,0)&amp;""</f>
        <v>Based on the response to REQU-04 on the "START HERE" tab, this question does not apply to this product or service.</v>
      </c>
      <c r="F119" s="209"/>
      <c r="G119" s="197" t="str">
        <f aca="false">VLOOKUP($A119,Questions!$A$2:$X$333,21,0)&amp;""</f>
        <v>Yes</v>
      </c>
      <c r="H119" s="198"/>
      <c r="I119" s="199" t="str">
        <f aca="false">VLOOKUP($A119,Questions!$A$2:$X$333,23,0)&amp;""</f>
        <v>Minor Importance</v>
      </c>
      <c r="J119" s="198"/>
      <c r="K119" s="200" t="b">
        <f aca="false">FALSE()</f>
        <v>0</v>
      </c>
      <c r="L119" s="1"/>
    </row>
    <row r="120" customFormat="false" ht="48" hidden="false" customHeight="true" outlineLevel="0" collapsed="false">
      <c r="A120" s="35" t="s">
        <v>410</v>
      </c>
      <c r="B120" s="45" t="str">
        <f aca="false">VLOOKUP($A120,Questions!$A$2:$X$333,2,0)</f>
        <v>Do you provide choice to the user to opt out of AI use?</v>
      </c>
      <c r="C120" s="199" t="str">
        <f aca="false">VLOOKUP($A120,Privacy!$A$13:$E$97,3,0)&amp;""</f>
        <v/>
      </c>
      <c r="D120" s="68" t="str">
        <f aca="false">IF(LEFT(VLOOKUP($A120,Privacy!$A$13:$E$97,5,0),21)='Auto Responses'!$A$32,'Auto Responses'!$A$33,VLOOKUP($A120,Privacy!$A$13:$E$97,4,0))&amp;""</f>
        <v>This question does not apply.</v>
      </c>
      <c r="E120" s="206" t="str">
        <f aca="false">VLOOKUP($A120,Privacy!$A$13:$E$97,5,0)&amp;""</f>
        <v>Based on the response to REQU-04 on the "START HERE" tab, this question does not apply to this product or service.</v>
      </c>
      <c r="F120" s="209"/>
      <c r="G120" s="197" t="str">
        <f aca="false">VLOOKUP($A120,Questions!$A$2:$X$333,21,0)&amp;""</f>
        <v>Yes</v>
      </c>
      <c r="H120" s="198"/>
      <c r="I120" s="199" t="str">
        <f aca="false">VLOOKUP($A120,Questions!$A$2:$X$333,23,0)&amp;""</f>
        <v>Minor Importance</v>
      </c>
      <c r="J120" s="198"/>
      <c r="K120" s="200" t="b">
        <f aca="false">FALSE()</f>
        <v>0</v>
      </c>
      <c r="L120" s="1"/>
      <c r="M120" s="176"/>
      <c r="N120" s="176"/>
    </row>
    <row r="121" customFormat="false" ht="15" hidden="false" customHeight="true" outlineLevel="0" collapsed="false"/>
    <row r="122" customFormat="false" ht="15" hidden="false" customHeight="true" outlineLevel="0" collapsed="false"/>
    <row r="123" s="1" customFormat="true" ht="36.75" hidden="false" customHeight="true" outlineLevel="0" collapsed="false">
      <c r="A123" s="247" t="s">
        <v>480</v>
      </c>
      <c r="B123" s="248"/>
      <c r="C123" s="249"/>
      <c r="D123" s="249"/>
      <c r="E123" s="249"/>
      <c r="F123" s="250"/>
      <c r="G123" s="249"/>
      <c r="H123" s="249"/>
      <c r="I123" s="249"/>
      <c r="J123" s="249"/>
      <c r="K123" s="249"/>
    </row>
    <row r="124" customFormat="false" ht="48" hidden="false" customHeight="true" outlineLevel="0" collapsed="false">
      <c r="A124" s="182" t="s">
        <v>446</v>
      </c>
      <c r="B124" s="183" t="s">
        <v>447</v>
      </c>
      <c r="C124" s="183" t="s">
        <v>479</v>
      </c>
      <c r="D124" s="184" t="s">
        <v>22</v>
      </c>
      <c r="E124" s="183" t="s">
        <v>23</v>
      </c>
      <c r="F124" s="52" t="s">
        <v>24</v>
      </c>
      <c r="G124" s="187" t="s">
        <v>449</v>
      </c>
      <c r="H124" s="188" t="s">
        <v>450</v>
      </c>
      <c r="I124" s="188" t="s">
        <v>451</v>
      </c>
      <c r="J124" s="189" t="s">
        <v>452</v>
      </c>
      <c r="K124" s="190" t="s">
        <v>453</v>
      </c>
      <c r="L124" s="1"/>
      <c r="M124" s="176"/>
      <c r="N124" s="176"/>
    </row>
    <row r="125" customFormat="false" ht="17.9" hidden="false" customHeight="false" outlineLevel="0" collapsed="false">
      <c r="A125" s="31" t="str">
        <f aca="false">VLOOKUP(LEFT($A126,4),'Auto Responses'!$N$4:$O$38,2,0)&amp;""</f>
        <v> Company Information</v>
      </c>
      <c r="B125" s="42"/>
      <c r="C125" s="43"/>
      <c r="D125" s="43"/>
      <c r="E125" s="43"/>
      <c r="F125" s="192" t="s">
        <v>454</v>
      </c>
      <c r="G125" s="43"/>
      <c r="H125" s="43"/>
      <c r="I125" s="43"/>
      <c r="J125" s="43"/>
      <c r="K125" s="43"/>
      <c r="L125" s="1"/>
      <c r="M125" s="1"/>
      <c r="N125" s="1"/>
    </row>
    <row r="126" customFormat="false" ht="46.25" hidden="false" customHeight="false" outlineLevel="0" collapsed="false">
      <c r="A126" s="35" t="s">
        <v>25</v>
      </c>
      <c r="B126" s="45" t="str">
        <f aca="false">VLOOKUP($A126,Questions!$A$2:$X$333,2,0)</f>
        <v>Do you have a dedicated software and system development team(s) (e.g., customer support, implementation, product management, etc.)?*</v>
      </c>
      <c r="C126" s="199" t="str">
        <f aca="false">VLOOKUP($A126,'Institution Evaluation'!$A$56:$K$346,3,0)&amp;""</f>
        <v>No</v>
      </c>
      <c r="D126" s="199" t="str">
        <f aca="false">VLOOKUP($A126,'Institution Evaluation'!$A$56:$K$346,4,0)&amp;""</f>
        <v>QGIS is driven by community. </v>
      </c>
      <c r="E126" s="206" t="str">
        <f aca="false">VLOOKUP($A126,'Institution Evaluation'!$A$56:$K$346,5,0)&amp;""</f>
        <v>Describe any plans to create a dedicated software and system development team.</v>
      </c>
      <c r="F126" s="209" t="str">
        <f aca="false">VLOOKUP($A126,'Institution Evaluation'!$A$56:$K$346,6,0)&amp;""</f>
        <v/>
      </c>
      <c r="G126" s="197" t="str">
        <f aca="false">VLOOKUP($A126,'Institution Evaluation'!$A$56:$K$346,7,0)&amp;""</f>
        <v>Yes</v>
      </c>
      <c r="H126" s="198" t="str">
        <f aca="false">VLOOKUP($A126,'Institution Evaluation'!$A$56:$K$346,8,0)&amp;""</f>
        <v/>
      </c>
      <c r="I126" s="199" t="str">
        <f aca="false">VLOOKUP($A126,'Institution Evaluation'!$A$56:$K$346,9,0)&amp;""</f>
        <v>Critical Importance</v>
      </c>
      <c r="J126" s="251" t="str">
        <f aca="false">VLOOKUP($A126,'Institution Evaluation'!$A$56:$K$346,10,0)&amp;""</f>
        <v/>
      </c>
      <c r="K126" s="200" t="str">
        <f aca="false">IF(VLOOKUP($A126,'Institution Evaluation'!$A$56:$K$346,10,0)=TRUE(),"Yes","")</f>
        <v/>
      </c>
      <c r="L126" s="200" t="str">
        <f aca="false">IF(VLOOKUP($A126,'Institution Evaluation'!$A$56:$K$346,10,0)=TRUE(),"Yes","")</f>
        <v/>
      </c>
      <c r="M126" s="176"/>
      <c r="N126" s="176"/>
    </row>
    <row r="127" customFormat="false" ht="83.55" hidden="false" customHeight="false" outlineLevel="0" collapsed="false">
      <c r="A127" s="35" t="s">
        <v>28</v>
      </c>
      <c r="B127" s="45" t="str">
        <f aca="false">VLOOKUP($A127,Questions!$A$2:$X$333,2,0)</f>
        <v>Describe your organization’s business background and ownership structure, including all parent and subsidiary relationships.</v>
      </c>
      <c r="C127" s="199" t="str">
        <f aca="false">VLOOKUP($A127,'Institution Evaluation'!$A$56:$K$346,3,0)&amp;""</f>
        <v>GIS is an open-source project comprised of contributors worldwide; no single company sells a hosted QGIS service by default). Provide organization/legal entity if your institution contracts with a third-party vendor providing commercial QGIS support.</v>
      </c>
      <c r="D127" s="199" t="str">
        <f aca="false">VLOOKUP($A127,'Institution Evaluation'!$A$56:$K$346,4,0)&amp;""</f>
        <v/>
      </c>
      <c r="E127" s="206" t="str">
        <f aca="false">VLOOKUP($A127,'Institution Evaluation'!$A$56:$K$346,5,0)&amp;""</f>
        <v>Include circumstances that may involve offshoring or multinational agreements.</v>
      </c>
      <c r="F127" s="209" t="str">
        <f aca="false">VLOOKUP($A127,'Institution Evaluation'!$A$56:$K$346,6,0)&amp;""</f>
        <v/>
      </c>
      <c r="G127" s="197" t="str">
        <f aca="false">VLOOKUP($A127,'Institution Evaluation'!$A$56:$K$346,7,0)&amp;""</f>
        <v>Not scored</v>
      </c>
      <c r="H127" s="198" t="str">
        <f aca="false">VLOOKUP($A127,'Institution Evaluation'!$A$56:$K$346,8,0)&amp;""</f>
        <v/>
      </c>
      <c r="I127" s="199" t="str">
        <f aca="false">VLOOKUP($A127,'Institution Evaluation'!$A$56:$K$346,9,0)&amp;""</f>
        <v/>
      </c>
      <c r="J127" s="251" t="str">
        <f aca="false">VLOOKUP($A127,'Institution Evaluation'!$A$56:$K$346,10,0)&amp;""</f>
        <v/>
      </c>
      <c r="K127" s="200" t="str">
        <f aca="false">IF(VLOOKUP($A127,'Institution Evaluation'!$A$56:$K$346,10,0)=TRUE(),"Yes","")</f>
        <v/>
      </c>
    </row>
    <row r="128" s="1" customFormat="true" ht="31.3" hidden="false" customHeight="false" outlineLevel="0" collapsed="false">
      <c r="A128" s="35" t="s">
        <v>30</v>
      </c>
      <c r="B128" s="45" t="str">
        <f aca="false">VLOOKUP($A128,Questions!$A$2:$X$333,2,0)</f>
        <v>Have you operated without unplanned disruptions to this solution in the past 12 months?</v>
      </c>
      <c r="C128" s="199" t="str">
        <f aca="false">VLOOKUP($A128,'Institution Evaluation'!$A$56:$K$346,3,0)&amp;""</f>
        <v>Yes</v>
      </c>
      <c r="D128" s="199" t="str">
        <f aca="false">VLOOKUP($A128,'Institution Evaluation'!$A$56:$K$346,4,0)&amp;""</f>
        <v>QGIS is a desktop tool. Question not applicable. </v>
      </c>
      <c r="E128" s="206" t="str">
        <f aca="false">VLOOKUP($A128,'Institution Evaluation'!$A$56:$K$346,5,0)&amp;""</f>
        <v/>
      </c>
      <c r="F128" s="209" t="str">
        <f aca="false">VLOOKUP($A128,'Institution Evaluation'!$A$56:$K$346,6,0)&amp;""</f>
        <v/>
      </c>
      <c r="G128" s="197" t="str">
        <f aca="false">VLOOKUP($A128,'Institution Evaluation'!$A$56:$K$346,7,0)&amp;""</f>
        <v>Yes</v>
      </c>
      <c r="H128" s="198" t="str">
        <f aca="false">VLOOKUP($A128,'Institution Evaluation'!$A$56:$K$346,8,0)&amp;""</f>
        <v/>
      </c>
      <c r="I128" s="199" t="str">
        <f aca="false">VLOOKUP($A128,'Institution Evaluation'!$A$56:$K$346,9,0)&amp;""</f>
        <v>Minor Importance</v>
      </c>
      <c r="J128" s="251" t="str">
        <f aca="false">VLOOKUP($A128,'Institution Evaluation'!$A$56:$K$346,10,0)&amp;""</f>
        <v/>
      </c>
      <c r="K128" s="200" t="str">
        <f aca="false">IF(VLOOKUP($A128,'Institution Evaluation'!$A$56:$K$346,10,0)=TRUE(),"Yes","")</f>
        <v/>
      </c>
      <c r="L128" s="101"/>
      <c r="M128" s="101"/>
      <c r="N128" s="101"/>
    </row>
    <row r="129" customFormat="false" ht="31.3" hidden="false" customHeight="false" outlineLevel="0" collapsed="false">
      <c r="A129" s="35" t="s">
        <v>33</v>
      </c>
      <c r="B129" s="45" t="str">
        <f aca="false">VLOOKUP($A129,Questions!$A$2:$X$333,2,0)</f>
        <v>Do you have a dedicated information security staff or office?</v>
      </c>
      <c r="C129" s="199" t="str">
        <f aca="false">VLOOKUP($A129,'Institution Evaluation'!$A$56:$K$346,3,0)&amp;""</f>
        <v>Yes</v>
      </c>
      <c r="D129" s="199" t="str">
        <f aca="false">VLOOKUP($A129,'Institution Evaluation'!$A$56:$K$346,4,0)&amp;""</f>
        <v>We have roles for security management. Mix of benevolent and professional contributors. </v>
      </c>
      <c r="E129" s="206" t="str">
        <f aca="false">VLOOKUP($A129,'Institution Evaluation'!$A$56:$K$346,5,0)&amp;""</f>
        <v>Describe your information security office, including size, talents, resources, etc.</v>
      </c>
      <c r="F129" s="209" t="str">
        <f aca="false">VLOOKUP($A129,'Institution Evaluation'!$A$56:$K$346,6,0)&amp;""</f>
        <v/>
      </c>
      <c r="G129" s="197" t="str">
        <f aca="false">VLOOKUP($A129,'Institution Evaluation'!$A$56:$K$346,7,0)&amp;""</f>
        <v>Yes</v>
      </c>
      <c r="H129" s="198" t="str">
        <f aca="false">VLOOKUP($A129,'Institution Evaluation'!$A$56:$K$346,8,0)&amp;""</f>
        <v/>
      </c>
      <c r="I129" s="199" t="str">
        <f aca="false">VLOOKUP($A129,'Institution Evaluation'!$A$56:$K$346,9,0)&amp;""</f>
        <v>Minor Importance</v>
      </c>
      <c r="J129" s="251" t="str">
        <f aca="false">VLOOKUP($A129,'Institution Evaluation'!$A$56:$K$346,10,0)&amp;""</f>
        <v/>
      </c>
      <c r="K129" s="200" t="str">
        <f aca="false">IF(VLOOKUP($A129,'Institution Evaluation'!$A$56:$K$346,10,0)=TRUE(),"Yes","")</f>
        <v/>
      </c>
    </row>
    <row r="130" customFormat="false" ht="17.9" hidden="false" customHeight="false" outlineLevel="0" collapsed="false">
      <c r="A130" s="31" t="str">
        <f aca="false">VLOOKUP(LEFT($A131,4),'Auto Responses'!$N$4:$O$38,2,0)&amp;""</f>
        <v> Required Questions</v>
      </c>
      <c r="B130" s="42"/>
      <c r="C130" s="43"/>
      <c r="D130" s="43"/>
      <c r="E130" s="204"/>
      <c r="F130" s="192" t="s">
        <v>454</v>
      </c>
      <c r="G130" s="201" t="s">
        <v>449</v>
      </c>
      <c r="H130" s="201" t="s">
        <v>450</v>
      </c>
      <c r="I130" s="201" t="s">
        <v>451</v>
      </c>
      <c r="J130" s="201" t="s">
        <v>452</v>
      </c>
      <c r="K130" s="43"/>
      <c r="L130" s="1"/>
      <c r="M130" s="1"/>
      <c r="N130" s="1"/>
    </row>
    <row r="131" customFormat="false" ht="46.25" hidden="false" customHeight="false" outlineLevel="0" collapsed="false">
      <c r="A131" s="35" t="s">
        <v>44</v>
      </c>
      <c r="B131" s="45" t="str">
        <f aca="false">VLOOKUP($A131,Questions!$A$2:$X$333,2,0)</f>
        <v>Does your solution have AI features, or are there plans to implement AI features in the next 12 months?</v>
      </c>
      <c r="C131" s="199" t="str">
        <f aca="false">VLOOKUP($A131,'Institution Evaluation'!$A$56:$K$346,3,0)&amp;""</f>
        <v>No</v>
      </c>
      <c r="D131" s="199" t="str">
        <f aca="false">VLOOKUP($A131,'Institution Evaluation'!$A$56:$K$346,4,0)&amp;""</f>
        <v/>
      </c>
      <c r="E131" s="206" t="str">
        <f aca="false">VLOOKUP($A131,'Institution Evaluation'!$A$56:$K$346,5,0)&amp;""</f>
        <v>DO NOT complete the Artificial Intelligence (AI) worksheet</v>
      </c>
      <c r="F131" s="209" t="str">
        <f aca="false">VLOOKUP($A131,'Institution Evaluation'!$A$56:$K$346,6,0)&amp;""</f>
        <v/>
      </c>
      <c r="G131" s="197" t="str">
        <f aca="false">VLOOKUP($A131,'Institution Evaluation'!$A$56:$K$346,7,0)&amp;""</f>
        <v>Not scored</v>
      </c>
      <c r="H131" s="198" t="str">
        <f aca="false">VLOOKUP($A131,'Institution Evaluation'!$A$56:$K$346,8,0)&amp;""</f>
        <v/>
      </c>
      <c r="I131" s="199" t="str">
        <f aca="false">VLOOKUP($A131,'Institution Evaluation'!$A$56:$K$346,9,0)&amp;""</f>
        <v/>
      </c>
      <c r="J131" s="251" t="str">
        <f aca="false">VLOOKUP($A131,'Institution Evaluation'!$A$56:$K$346,10,0)&amp;""</f>
        <v/>
      </c>
      <c r="K131" s="200" t="str">
        <f aca="false">IF(VLOOKUP($A131,'Institution Evaluation'!$A$56:$K$346,10,0)=TRUE(),"Yes","")</f>
        <v/>
      </c>
    </row>
    <row r="132" customFormat="false" ht="99.95" hidden="false" customHeight="false" outlineLevel="0" collapsed="false">
      <c r="A132" s="35" t="s">
        <v>45</v>
      </c>
      <c r="B132" s="45" t="str">
        <f aca="false">VLOOKUP($A132,Questions!$A$2:$X$333,2,0)</f>
        <v>Does your solution process protected health information (PHI) or any data covered by the Health Insurance Portability and Accountability Act (HIPAA)?</v>
      </c>
      <c r="C132" s="199" t="str">
        <f aca="false">VLOOKUP($A132,'Institution Evaluation'!$A$56:$K$346,3,0)&amp;""</f>
        <v>No</v>
      </c>
      <c r="D132" s="199" t="str">
        <f aca="false">VLOOKUP($A132,'Institution Evaluation'!$A$56:$K$346,4,0)&amp;""</f>
        <v/>
      </c>
      <c r="E132" s="206" t="str">
        <f aca="false">VLOOKUP($A132,'Institution Evaluation'!$A$56:$K$346,5,0)&amp;""</f>
        <v>DO NOT complete the HIPAA section in the Case-Specific worksheet</v>
      </c>
      <c r="F132" s="209" t="str">
        <f aca="false">VLOOKUP($A132,'Institution Evaluation'!$A$56:$K$346,6,0)&amp;""</f>
        <v/>
      </c>
      <c r="G132" s="197" t="str">
        <f aca="false">VLOOKUP($A132,'Institution Evaluation'!$A$56:$K$346,7,0)&amp;""</f>
        <v>Not scored</v>
      </c>
      <c r="H132" s="198" t="str">
        <f aca="false">VLOOKUP($A132,'Institution Evaluation'!$A$56:$K$346,8,0)&amp;""</f>
        <v/>
      </c>
      <c r="I132" s="199" t="str">
        <f aca="false">VLOOKUP($A132,'Institution Evaluation'!$A$56:$K$346,9,0)&amp;""</f>
        <v/>
      </c>
      <c r="J132" s="251" t="str">
        <f aca="false">VLOOKUP($A132,'Institution Evaluation'!$A$56:$K$346,10,0)&amp;""</f>
        <v/>
      </c>
      <c r="K132" s="200" t="str">
        <f aca="false">IF(VLOOKUP($A132,'Institution Evaluation'!$A$56:$K$346,10,0)=TRUE(),"Yes","")</f>
        <v/>
      </c>
    </row>
    <row r="133" customFormat="false" ht="99.95" hidden="false" customHeight="false" outlineLevel="0" collapsed="false">
      <c r="A133" s="35" t="s">
        <v>46</v>
      </c>
      <c r="B133" s="45" t="str">
        <f aca="false">VLOOKUP($A133,Questions!$A$2:$X$333,2,0)</f>
        <v>Is the solution designed to process, store, or transmit credit card information?</v>
      </c>
      <c r="C133" s="199" t="str">
        <f aca="false">VLOOKUP($A133,'Institution Evaluation'!$A$56:$K$346,3,0)&amp;""</f>
        <v>No</v>
      </c>
      <c r="D133" s="199" t="str">
        <f aca="false">VLOOKUP($A133,'Institution Evaluation'!$A$56:$K$346,4,0)&amp;""</f>
        <v/>
      </c>
      <c r="E133" s="206" t="str">
        <f aca="false">VLOOKUP($A133,'Institution Evaluation'!$A$56:$K$346,5,0)&amp;""</f>
        <v>DO NOT complete the PCI-DSS section in the Case-Specific worksheet</v>
      </c>
      <c r="F133" s="209" t="str">
        <f aca="false">VLOOKUP($A133,'Institution Evaluation'!$A$56:$K$346,6,0)&amp;""</f>
        <v/>
      </c>
      <c r="G133" s="197" t="str">
        <f aca="false">VLOOKUP($A133,'Institution Evaluation'!$A$56:$K$346,7,0)&amp;""</f>
        <v>Not scored</v>
      </c>
      <c r="H133" s="198" t="str">
        <f aca="false">VLOOKUP($A133,'Institution Evaluation'!$A$56:$K$346,8,0)&amp;""</f>
        <v/>
      </c>
      <c r="I133" s="199" t="str">
        <f aca="false">VLOOKUP($A133,'Institution Evaluation'!$A$56:$K$346,9,0)&amp;""</f>
        <v/>
      </c>
      <c r="J133" s="251" t="str">
        <f aca="false">VLOOKUP($A133,'Institution Evaluation'!$A$56:$K$346,10,0)&amp;""</f>
        <v/>
      </c>
      <c r="K133" s="200" t="str">
        <f aca="false">IF(VLOOKUP($A133,'Institution Evaluation'!$A$56:$K$346,10,0)=TRUE(),"Yes","")</f>
        <v/>
      </c>
    </row>
    <row r="134" customFormat="false" ht="83.55" hidden="false" customHeight="false" outlineLevel="0" collapsed="false">
      <c r="A134" s="35" t="s">
        <v>48</v>
      </c>
      <c r="B134" s="45" t="str">
        <f aca="false">VLOOKUP($A134,Questions!$A$2:$X$333,2,0)</f>
        <v>Does your solution have access to personal or institutional data?</v>
      </c>
      <c r="C134" s="199" t="str">
        <f aca="false">VLOOKUP($A134,'Institution Evaluation'!$A$56:$K$346,3,0)&amp;""</f>
        <v>No</v>
      </c>
      <c r="D134" s="199" t="str">
        <f aca="false">VLOOKUP($A134,'Institution Evaluation'!$A$56:$K$346,4,0)&amp;""</f>
        <v/>
      </c>
      <c r="E134" s="206" t="str">
        <f aca="false">VLOOKUP($A134,'Institution Evaluation'!$A$56:$K$346,5,0)&amp;""</f>
        <v>DO NOT complete the Privacy tab</v>
      </c>
      <c r="F134" s="209" t="str">
        <f aca="false">VLOOKUP($A134,'Institution Evaluation'!$A$56:$K$346,6,0)&amp;""</f>
        <v/>
      </c>
      <c r="G134" s="197" t="str">
        <f aca="false">VLOOKUP($A134,'Institution Evaluation'!$A$56:$K$346,7,0)&amp;""</f>
        <v>Not scored</v>
      </c>
      <c r="H134" s="198" t="str">
        <f aca="false">VLOOKUP($A134,'Institution Evaluation'!$A$56:$K$346,8,0)&amp;""</f>
        <v/>
      </c>
      <c r="I134" s="199" t="str">
        <f aca="false">VLOOKUP($A134,'Institution Evaluation'!$A$56:$K$346,9,0)&amp;""</f>
        <v/>
      </c>
      <c r="J134" s="251" t="str">
        <f aca="false">VLOOKUP($A134,'Institution Evaluation'!$A$56:$K$346,10,0)&amp;""</f>
        <v/>
      </c>
      <c r="K134" s="200" t="str">
        <f aca="false">IF(VLOOKUP($A134,'Institution Evaluation'!$A$56:$K$346,10,0)=TRUE(),"Yes","")</f>
        <v/>
      </c>
    </row>
    <row r="135" s="1" customFormat="true" ht="17.9" hidden="false" customHeight="false" outlineLevel="0" collapsed="false">
      <c r="A135" s="31" t="str">
        <f aca="false">VLOOKUP(LEFT($A136,4),'Auto Responses'!$N$4:$O$38,2,0)&amp;""</f>
        <v> Documentation</v>
      </c>
      <c r="B135" s="42"/>
      <c r="C135" s="43"/>
      <c r="D135" s="43"/>
      <c r="E135" s="204"/>
      <c r="F135" s="192" t="s">
        <v>454</v>
      </c>
      <c r="G135" s="201" t="s">
        <v>449</v>
      </c>
      <c r="H135" s="201" t="s">
        <v>450</v>
      </c>
      <c r="I135" s="201" t="s">
        <v>451</v>
      </c>
      <c r="J135" s="201" t="s">
        <v>452</v>
      </c>
      <c r="K135" s="43"/>
    </row>
    <row r="136" customFormat="false" ht="46.25" hidden="false" customHeight="false" outlineLevel="0" collapsed="false">
      <c r="A136" s="35" t="s">
        <v>52</v>
      </c>
      <c r="B136" s="45" t="str">
        <f aca="false">VLOOKUP($A136,Questions!$A$2:$X$333,2,0)</f>
        <v>Do you have a well-documented business continuity plan (BCP), with a clear owner, that is tested annually?*</v>
      </c>
      <c r="C136" s="199" t="str">
        <f aca="false">VLOOKUP($A136,'Institution Evaluation'!$A$56:$K$346,3,0)&amp;""</f>
        <v>No</v>
      </c>
      <c r="D136" s="199" t="str">
        <f aca="false">VLOOKUP($A136,'Institution Evaluation'!$A$56:$K$346,4,0)&amp;""</f>
        <v>NA – we don’t provide online service</v>
      </c>
      <c r="E136" s="206" t="str">
        <f aca="false">VLOOKUP($A136,'Institution Evaluation'!$A$56:$K$346,5,0)&amp;""</f>
        <v/>
      </c>
      <c r="F136" s="209" t="str">
        <f aca="false">VLOOKUP($A136,'Institution Evaluation'!$A$56:$K$346,6,0)&amp;""</f>
        <v/>
      </c>
      <c r="G136" s="197" t="str">
        <f aca="false">VLOOKUP($A136,'Institution Evaluation'!$A$56:$K$346,7,0)&amp;""</f>
        <v>Yes</v>
      </c>
      <c r="H136" s="198" t="str">
        <f aca="false">VLOOKUP($A136,'Institution Evaluation'!$A$56:$K$346,8,0)&amp;""</f>
        <v/>
      </c>
      <c r="I136" s="199" t="str">
        <f aca="false">VLOOKUP($A136,'Institution Evaluation'!$A$56:$K$346,9,0)&amp;""</f>
        <v>Critical Importance</v>
      </c>
      <c r="J136" s="251" t="str">
        <f aca="false">VLOOKUP($A136,'Institution Evaluation'!$A$56:$K$346,10,0)&amp;""</f>
        <v/>
      </c>
      <c r="K136" s="200" t="str">
        <f aca="false">IF(VLOOKUP($A136,'Institution Evaluation'!$A$56:$K$346,10,0)=TRUE(),"Yes","")</f>
        <v/>
      </c>
    </row>
    <row r="137" customFormat="false" ht="17.9" hidden="false" customHeight="false" outlineLevel="0" collapsed="false">
      <c r="A137" s="35" t="s">
        <v>55</v>
      </c>
      <c r="B137" s="45" t="str">
        <f aca="false">VLOOKUP($A137,Questions!$A$2:$X$333,2,0)</f>
        <v>Have you undergone a SSAE 18/SOC 2 audit?</v>
      </c>
      <c r="C137" s="199" t="str">
        <f aca="false">VLOOKUP($A137,'Institution Evaluation'!$A$56:$K$346,3,0)&amp;""</f>
        <v>No</v>
      </c>
      <c r="D137" s="199" t="str">
        <f aca="false">VLOOKUP($A137,'Institution Evaluation'!$A$56:$K$346,4,0)&amp;""</f>
        <v>NA – we don’t provide online service</v>
      </c>
      <c r="E137" s="206" t="str">
        <f aca="false">VLOOKUP($A137,'Institution Evaluation'!$A$56:$K$346,5,0)&amp;""</f>
        <v>Describe any plans to undergo a SSAE 18 audit.</v>
      </c>
      <c r="F137" s="209" t="str">
        <f aca="false">VLOOKUP($A137,'Institution Evaluation'!$A$56:$K$346,6,0)&amp;""</f>
        <v/>
      </c>
      <c r="G137" s="197" t="str">
        <f aca="false">VLOOKUP($A137,'Institution Evaluation'!$A$56:$K$346,7,0)&amp;""</f>
        <v>Yes</v>
      </c>
      <c r="H137" s="198" t="str">
        <f aca="false">VLOOKUP($A137,'Institution Evaluation'!$A$56:$K$346,8,0)&amp;""</f>
        <v/>
      </c>
      <c r="I137" s="199" t="str">
        <f aca="false">VLOOKUP($A137,'Institution Evaluation'!$A$56:$K$346,9,0)&amp;""</f>
        <v>Standard Importance</v>
      </c>
      <c r="J137" s="251" t="str">
        <f aca="false">VLOOKUP($A137,'Institution Evaluation'!$A$56:$K$346,10,0)&amp;""</f>
        <v/>
      </c>
      <c r="K137" s="200" t="str">
        <f aca="false">IF(VLOOKUP($A137,'Institution Evaluation'!$A$56:$K$346,10,0)=TRUE(),"Yes","")</f>
        <v/>
      </c>
    </row>
    <row r="138" s="1" customFormat="true" ht="46.25" hidden="false" customHeight="false" outlineLevel="0" collapsed="false">
      <c r="A138" s="35" t="s">
        <v>56</v>
      </c>
      <c r="B138" s="45" t="str">
        <f aca="false">VLOOKUP($A138,Questions!$A$2:$X$333,2,0)</f>
        <v>Do you conform with a specific industry standard security framework (e.g., NIST Cybersecurity Framework, CIS Controls, ISO 27001, etc.)?</v>
      </c>
      <c r="C138" s="199" t="str">
        <f aca="false">VLOOKUP($A138,'Institution Evaluation'!$A$56:$K$346,3,0)&amp;""</f>
        <v>No</v>
      </c>
      <c r="D138" s="199" t="str">
        <f aca="false">VLOOKUP($A138,'Institution Evaluation'!$A$56:$K$346,4,0)&amp;""</f>
        <v>NA – we don’t provide online service</v>
      </c>
      <c r="E138" s="206" t="str">
        <f aca="false">VLOOKUP($A138,'Institution Evaluation'!$A$56:$K$346,5,0)&amp;""</f>
        <v>Describe any plans to conform to an industry standard security framework.</v>
      </c>
      <c r="F138" s="209" t="str">
        <f aca="false">VLOOKUP($A138,'Institution Evaluation'!$A$56:$K$346,6,0)&amp;""</f>
        <v/>
      </c>
      <c r="G138" s="197" t="str">
        <f aca="false">VLOOKUP($A138,'Institution Evaluation'!$A$56:$K$346,7,0)&amp;""</f>
        <v>Yes</v>
      </c>
      <c r="H138" s="198" t="str">
        <f aca="false">VLOOKUP($A138,'Institution Evaluation'!$A$56:$K$346,8,0)&amp;""</f>
        <v/>
      </c>
      <c r="I138" s="199" t="str">
        <f aca="false">VLOOKUP($A138,'Institution Evaluation'!$A$56:$K$346,9,0)&amp;""</f>
        <v>Standard Importance</v>
      </c>
      <c r="J138" s="251" t="str">
        <f aca="false">VLOOKUP($A138,'Institution Evaluation'!$A$56:$K$346,10,0)&amp;""</f>
        <v/>
      </c>
      <c r="K138" s="200" t="str">
        <f aca="false">IF(VLOOKUP($A138,'Institution Evaluation'!$A$56:$K$346,10,0)=TRUE(),"Yes","")</f>
        <v/>
      </c>
      <c r="L138" s="101"/>
      <c r="M138" s="101"/>
      <c r="N138" s="101"/>
    </row>
    <row r="139" customFormat="false" ht="46.25" hidden="false" customHeight="false" outlineLevel="0" collapsed="false">
      <c r="A139" s="35" t="s">
        <v>57</v>
      </c>
      <c r="B139" s="45" t="str">
        <f aca="false">VLOOKUP($A139,Questions!$A$2:$X$333,2,0)</f>
        <v>Can you provide overall system and/or application architecture diagrams, including a full description of the data flow for all components of the system?</v>
      </c>
      <c r="C139" s="199" t="str">
        <f aca="false">VLOOKUP($A139,'Institution Evaluation'!$A$56:$K$346,3,0)&amp;""</f>
        <v>Yes</v>
      </c>
      <c r="D139" s="199" t="str">
        <f aca="false">VLOOKUP($A139,'Institution Evaluation'!$A$56:$K$346,4,0)&amp;""</f>
        <v>All source code, documentation are online </v>
      </c>
      <c r="E139" s="206" t="str">
        <f aca="false">VLOOKUP($A139,'Institution Evaluation'!$A$56:$K$346,5,0)&amp;""</f>
        <v>Provide your diagrams (or a valid link to it) upon submission.</v>
      </c>
      <c r="F139" s="209" t="str">
        <f aca="false">VLOOKUP($A139,'Institution Evaluation'!$A$56:$K$346,6,0)&amp;""</f>
        <v/>
      </c>
      <c r="G139" s="197" t="str">
        <f aca="false">VLOOKUP($A139,'Institution Evaluation'!$A$56:$K$346,7,0)&amp;""</f>
        <v>Yes</v>
      </c>
      <c r="H139" s="198" t="str">
        <f aca="false">VLOOKUP($A139,'Institution Evaluation'!$A$56:$K$346,8,0)&amp;""</f>
        <v/>
      </c>
      <c r="I139" s="199" t="str">
        <f aca="false">VLOOKUP($A139,'Institution Evaluation'!$A$56:$K$346,9,0)&amp;""</f>
        <v>Standard Importance</v>
      </c>
      <c r="J139" s="251" t="str">
        <f aca="false">VLOOKUP($A139,'Institution Evaluation'!$A$56:$K$346,10,0)&amp;""</f>
        <v/>
      </c>
      <c r="K139" s="200" t="str">
        <f aca="false">IF(VLOOKUP($A139,'Institution Evaluation'!$A$56:$K$346,10,0)=TRUE(),"Yes","")</f>
        <v/>
      </c>
    </row>
    <row r="140" customFormat="false" ht="17.9" hidden="false" customHeight="false" outlineLevel="0" collapsed="false">
      <c r="A140" s="35" t="s">
        <v>59</v>
      </c>
      <c r="B140" s="45" t="str">
        <f aca="false">VLOOKUP($A140,Questions!$A$2:$X$333,2,0)</f>
        <v>Does your organization have a data privacy policy?</v>
      </c>
      <c r="C140" s="199" t="str">
        <f aca="false">VLOOKUP($A140,'Institution Evaluation'!$A$56:$K$346,3,0)&amp;""</f>
        <v>No</v>
      </c>
      <c r="D140" s="199" t="str">
        <f aca="false">VLOOKUP($A140,'Institution Evaluation'!$A$56:$K$346,4,0)&amp;""</f>
        <v>We don’t handle private information </v>
      </c>
      <c r="E140" s="206" t="str">
        <f aca="false">VLOOKUP($A140,'Institution Evaluation'!$A$56:$K$346,5,0)&amp;""</f>
        <v>Describe your plans to create a data privacy policy.</v>
      </c>
      <c r="F140" s="209" t="str">
        <f aca="false">VLOOKUP($A140,'Institution Evaluation'!$A$56:$K$346,6,0)&amp;""</f>
        <v/>
      </c>
      <c r="G140" s="197" t="str">
        <f aca="false">VLOOKUP($A140,'Institution Evaluation'!$A$56:$K$346,7,0)&amp;""</f>
        <v>Yes</v>
      </c>
      <c r="H140" s="198" t="str">
        <f aca="false">VLOOKUP($A140,'Institution Evaluation'!$A$56:$K$346,8,0)&amp;""</f>
        <v/>
      </c>
      <c r="I140" s="199" t="str">
        <f aca="false">VLOOKUP($A140,'Institution Evaluation'!$A$56:$K$346,9,0)&amp;""</f>
        <v>Standard Importance</v>
      </c>
      <c r="J140" s="251" t="str">
        <f aca="false">VLOOKUP($A140,'Institution Evaluation'!$A$56:$K$346,10,0)&amp;""</f>
        <v/>
      </c>
      <c r="K140" s="200" t="str">
        <f aca="false">IF(VLOOKUP($A140,'Institution Evaluation'!$A$56:$K$346,10,0)=TRUE(),"Yes","")</f>
        <v/>
      </c>
    </row>
    <row r="141" customFormat="false" ht="46.25" hidden="false" customHeight="false" outlineLevel="0" collapsed="false">
      <c r="A141" s="35" t="s">
        <v>61</v>
      </c>
      <c r="B141" s="45" t="str">
        <f aca="false">VLOOKUP($A141,Questions!$A$2:$X$333,2,0)</f>
        <v>Do you have a documented, and currently implemented, employee onboarding and offboarding policy?</v>
      </c>
      <c r="C141" s="199" t="str">
        <f aca="false">VLOOKUP($A141,'Institution Evaluation'!$A$56:$K$346,3,0)&amp;""</f>
        <v>Yes</v>
      </c>
      <c r="D141" s="199" t="str">
        <f aca="false">VLOOKUP($A141,'Institution Evaluation'!$A$56:$K$346,4,0)&amp;""</f>
        <v>QGIS.org has 2 employees and a benevolent staff of 6, with the help of more than 40 active members. Most of the work is provided by commercial companies hosting developpers and contributors. They have such policies.</v>
      </c>
      <c r="E141" s="206" t="str">
        <f aca="false">VLOOKUP($A141,'Institution Evaluation'!$A$56:$K$346,5,0)&amp;""</f>
        <v>Provide a reference to your employee onboarding and offboarding policy and supporting documentation or submit it along with this fully populated HECVAT.</v>
      </c>
      <c r="F141" s="209" t="str">
        <f aca="false">VLOOKUP($A141,'Institution Evaluation'!$A$56:$K$346,6,0)&amp;""</f>
        <v/>
      </c>
      <c r="G141" s="197" t="str">
        <f aca="false">VLOOKUP($A141,'Institution Evaluation'!$A$56:$K$346,7,0)&amp;""</f>
        <v>Yes</v>
      </c>
      <c r="H141" s="198" t="str">
        <f aca="false">VLOOKUP($A141,'Institution Evaluation'!$A$56:$K$346,8,0)&amp;""</f>
        <v/>
      </c>
      <c r="I141" s="199" t="str">
        <f aca="false">VLOOKUP($A141,'Institution Evaluation'!$A$56:$K$346,9,0)&amp;""</f>
        <v>Standard Importance</v>
      </c>
      <c r="J141" s="251" t="str">
        <f aca="false">VLOOKUP($A141,'Institution Evaluation'!$A$56:$K$346,10,0)&amp;""</f>
        <v/>
      </c>
      <c r="K141" s="200" t="str">
        <f aca="false">IF(VLOOKUP($A141,'Institution Evaluation'!$A$56:$K$346,10,0)=TRUE(),"Yes","")</f>
        <v/>
      </c>
    </row>
    <row r="142" customFormat="false" ht="17.9" hidden="false" customHeight="false" outlineLevel="0" collapsed="false">
      <c r="A142" s="31" t="str">
        <f aca="false">VLOOKUP(LEFT($A143,4),'Auto Responses'!$N$4:$O$38,2,0)&amp;""</f>
        <v> IT Accessibility</v>
      </c>
      <c r="B142" s="42"/>
      <c r="C142" s="43"/>
      <c r="D142" s="43"/>
      <c r="E142" s="204"/>
      <c r="F142" s="192" t="s">
        <v>454</v>
      </c>
      <c r="G142" s="201" t="s">
        <v>449</v>
      </c>
      <c r="H142" s="201" t="s">
        <v>450</v>
      </c>
      <c r="I142" s="201" t="s">
        <v>451</v>
      </c>
      <c r="J142" s="201" t="s">
        <v>452</v>
      </c>
      <c r="K142" s="43"/>
      <c r="L142" s="1"/>
      <c r="M142" s="1"/>
      <c r="N142" s="1"/>
    </row>
    <row r="143" s="1" customFormat="true" ht="50.7" hidden="false" customHeight="false" outlineLevel="0" collapsed="false">
      <c r="A143" s="35" t="s">
        <v>219</v>
      </c>
      <c r="B143" s="45" t="str">
        <f aca="false">VLOOKUP($A143,Questions!$A$2:$X$333,2,0)</f>
        <v>Web Link to Accessibility Statement or VPAT</v>
      </c>
      <c r="C143" s="199" t="str">
        <f aca="false">VLOOKUP($A143,'Institution Evaluation'!$A$56:$K$346,3,0)&amp;""</f>
        <v>https://www.qgis-us.org/2025/09/12/vpat/</v>
      </c>
      <c r="D143" s="199" t="str">
        <f aca="false">VLOOKUP($A143,'Institution Evaluation'!$A$56:$K$346,4,0)&amp;""</f>
        <v/>
      </c>
      <c r="E143" s="206" t="str">
        <f aca="false">VLOOKUP($A143,'Institution Evaluation'!$A$56:$K$346,5,0)&amp;""</f>
        <v>VPAT can also be added as an attachment</v>
      </c>
      <c r="F143" s="209" t="str">
        <f aca="false">VLOOKUP($A143,'Institution Evaluation'!$A$56:$K$346,6,0)&amp;""</f>
        <v/>
      </c>
      <c r="G143" s="197" t="str">
        <f aca="false">VLOOKUP($A143,'Institution Evaluation'!$A$56:$K$346,7,0)&amp;""</f>
        <v>Not scored</v>
      </c>
      <c r="H143" s="198" t="str">
        <f aca="false">VLOOKUP($A143,'Institution Evaluation'!$A$56:$K$346,8,0)&amp;""</f>
        <v/>
      </c>
      <c r="I143" s="199" t="str">
        <f aca="false">VLOOKUP($A143,'Institution Evaluation'!$A$56:$K$346,9,0)&amp;""</f>
        <v/>
      </c>
      <c r="J143" s="251" t="str">
        <f aca="false">VLOOKUP($A143,'Institution Evaluation'!$A$56:$K$346,10,0)&amp;""</f>
        <v/>
      </c>
      <c r="K143" s="200" t="str">
        <f aca="false">IF(VLOOKUP($A143,'Institution Evaluation'!$A$56:$K$346,10,0)=TRUE(),"Yes","")</f>
        <v/>
      </c>
      <c r="L143" s="101"/>
      <c r="M143" s="101"/>
      <c r="N143" s="101"/>
    </row>
    <row r="144" customFormat="false" ht="46.25" hidden="false" customHeight="false" outlineLevel="0" collapsed="false">
      <c r="A144" s="35" t="s">
        <v>223</v>
      </c>
      <c r="B144" s="45" t="str">
        <f aca="false">VLOOKUP($A144,Questions!$A$2:$X$333,2,0)</f>
        <v>Will your company agree to meet your stated accessibility standard or WCAG 2.1 AA as part of your contractual agreement for the solution?*</v>
      </c>
      <c r="C144" s="199" t="str">
        <f aca="false">VLOOKUP($A144,'Institution Evaluation'!$A$56:$K$346,3,0)&amp;""</f>
        <v>yes</v>
      </c>
      <c r="D144" s="199" t="str">
        <f aca="false">VLOOKUP($A144,'Institution Evaluation'!$A$56:$K$346,4,0)&amp;""</f>
        <v/>
      </c>
      <c r="E144" s="206" t="str">
        <f aca="false">VLOOKUP($A144,'Institution Evaluation'!$A$56:$K$346,5,0)&amp;""</f>
        <v/>
      </c>
      <c r="F144" s="209" t="str">
        <f aca="false">VLOOKUP($A144,'Institution Evaluation'!$A$56:$K$346,6,0)&amp;""</f>
        <v/>
      </c>
      <c r="G144" s="197" t="str">
        <f aca="false">VLOOKUP($A144,'Institution Evaluation'!$A$56:$K$346,7,0)&amp;""</f>
        <v>Yes</v>
      </c>
      <c r="H144" s="198" t="str">
        <f aca="false">VLOOKUP($A144,'Institution Evaluation'!$A$56:$K$346,8,0)&amp;""</f>
        <v/>
      </c>
      <c r="I144" s="199" t="str">
        <f aca="false">VLOOKUP($A144,'Institution Evaluation'!$A$56:$K$346,9,0)&amp;""</f>
        <v>Critical Importance</v>
      </c>
      <c r="J144" s="251" t="str">
        <f aca="false">VLOOKUP($A144,'Institution Evaluation'!$A$56:$K$346,10,0)&amp;""</f>
        <v/>
      </c>
      <c r="K144" s="200" t="str">
        <f aca="false">IF(VLOOKUP($A144,'Institution Evaluation'!$A$56:$K$346,10,0)=TRUE(),"Yes","")</f>
        <v/>
      </c>
    </row>
    <row r="145" customFormat="false" ht="17.9" hidden="false" customHeight="false" outlineLevel="0" collapsed="false">
      <c r="A145" s="31" t="str">
        <f aca="false">VLOOKUP(LEFT($A146,4),'Auto Responses'!$N$4:$O$38,2,0)&amp;""</f>
        <v> Assessment of Third Parties</v>
      </c>
      <c r="B145" s="42"/>
      <c r="C145" s="43"/>
      <c r="D145" s="43"/>
      <c r="E145" s="204"/>
      <c r="F145" s="192" t="s">
        <v>454</v>
      </c>
      <c r="G145" s="201" t="s">
        <v>449</v>
      </c>
      <c r="H145" s="201" t="s">
        <v>450</v>
      </c>
      <c r="I145" s="201" t="s">
        <v>451</v>
      </c>
      <c r="J145" s="201" t="s">
        <v>452</v>
      </c>
      <c r="K145" s="43"/>
      <c r="L145" s="1"/>
      <c r="M145" s="1"/>
      <c r="N145" s="1"/>
    </row>
    <row r="146" customFormat="false" ht="46.25" hidden="false" customHeight="false" outlineLevel="0" collapsed="false">
      <c r="A146" s="35" t="s">
        <v>63</v>
      </c>
      <c r="B146" s="45" t="str">
        <f aca="false">VLOOKUP($A146,Questions!$A$2:$X$333,2,0)</f>
        <v>Do you perform security assessments of third-party companies with which you share data (e.g., hosting providers, cloud services, PaaS, IaaS, SaaS)?*</v>
      </c>
      <c r="C146" s="199" t="str">
        <f aca="false">VLOOKUP($A146,'Institution Evaluation'!$A$56:$K$346,3,0)&amp;""</f>
        <v>No</v>
      </c>
      <c r="D146" s="199" t="str">
        <f aca="false">VLOOKUP($A146,'Institution Evaluation'!$A$56:$K$346,4,0)&amp;""</f>
        <v>We don’t share data</v>
      </c>
      <c r="E146" s="206" t="str">
        <f aca="false">VLOOKUP($A146,'Institution Evaluation'!$A$56:$K$346,5,0)&amp;""</f>
        <v>State your plans to perform security assessments of third-party companies.</v>
      </c>
      <c r="F146" s="209" t="str">
        <f aca="false">VLOOKUP($A146,'Institution Evaluation'!$A$56:$K$346,6,0)&amp;""</f>
        <v/>
      </c>
      <c r="G146" s="197" t="str">
        <f aca="false">VLOOKUP($A146,'Institution Evaluation'!$A$56:$K$346,7,0)&amp;""</f>
        <v>Yes</v>
      </c>
      <c r="H146" s="198" t="str">
        <f aca="false">VLOOKUP($A146,'Institution Evaluation'!$A$56:$K$346,8,0)&amp;""</f>
        <v/>
      </c>
      <c r="I146" s="199" t="str">
        <f aca="false">VLOOKUP($A146,'Institution Evaluation'!$A$56:$K$346,9,0)&amp;""</f>
        <v>Critical Importance</v>
      </c>
      <c r="J146" s="251" t="str">
        <f aca="false">VLOOKUP($A146,'Institution Evaluation'!$A$56:$K$346,10,0)&amp;""</f>
        <v/>
      </c>
      <c r="K146" s="200" t="str">
        <f aca="false">IF(VLOOKUP($A146,'Institution Evaluation'!$A$56:$K$346,10,0)=TRUE(),"Yes","")</f>
        <v/>
      </c>
    </row>
    <row r="147" customFormat="false" ht="99.95" hidden="false" customHeight="false" outlineLevel="0" collapsed="false">
      <c r="A147" s="35" t="s">
        <v>65</v>
      </c>
      <c r="B147" s="45" t="str">
        <f aca="false">VLOOKUP($A147,Questions!$A$2:$X$333,2,0)</f>
        <v>Do you have contractual language in place with third parties governing access to institutional data?*</v>
      </c>
      <c r="C147" s="199" t="str">
        <f aca="false">VLOOKUP($A147,'Institution Evaluation'!$A$56:$K$346,3,0)&amp;""</f>
        <v>No</v>
      </c>
      <c r="D147" s="199" t="str">
        <f aca="false">VLOOKUP($A147,'Institution Evaluation'!$A$56:$K$346,4,0)&amp;""</f>
        <v>Users stay in full ownership of their data. </v>
      </c>
      <c r="E147" s="206" t="str">
        <f aca="false">VLOOKUP($A147,'Institution Evaluation'!$A$56:$K$346,5,0)&amp;""</f>
        <v>List each third party and why institutional data is shared with them. Format example: [Third Party Name] - Reason</v>
      </c>
      <c r="F147" s="209" t="str">
        <f aca="false">VLOOKUP($A147,'Institution Evaluation'!$A$56:$K$346,6,0)&amp;""</f>
        <v/>
      </c>
      <c r="G147" s="197" t="str">
        <f aca="false">VLOOKUP($A147,'Institution Evaluation'!$A$56:$K$346,7,0)&amp;""</f>
        <v>Yes</v>
      </c>
      <c r="H147" s="198" t="str">
        <f aca="false">VLOOKUP($A147,'Institution Evaluation'!$A$56:$K$346,8,0)&amp;""</f>
        <v/>
      </c>
      <c r="I147" s="199" t="str">
        <f aca="false">VLOOKUP($A147,'Institution Evaluation'!$A$56:$K$346,9,0)&amp;""</f>
        <v>Critical Importance</v>
      </c>
      <c r="J147" s="251" t="str">
        <f aca="false">VLOOKUP($A147,'Institution Evaluation'!$A$56:$K$346,10,0)&amp;""</f>
        <v/>
      </c>
      <c r="K147" s="200" t="str">
        <f aca="false">IF(VLOOKUP($A147,'Institution Evaluation'!$A$56:$K$346,10,0)=TRUE(),"Yes","")</f>
        <v/>
      </c>
    </row>
    <row r="148" customFormat="false" ht="31.3" hidden="false" customHeight="false" outlineLevel="0" collapsed="false">
      <c r="A148" s="35" t="s">
        <v>67</v>
      </c>
      <c r="B148" s="45" t="str">
        <f aca="false">VLOOKUP($A148,Questions!$A$2:$X$333,2,0)</f>
        <v>Do the contracts in place with these third parties address liability in the event of a data breach?*</v>
      </c>
      <c r="C148" s="199" t="str">
        <f aca="false">VLOOKUP($A148,'Institution Evaluation'!$A$56:$K$346,3,0)&amp;""</f>
        <v>No</v>
      </c>
      <c r="D148" s="199" t="str">
        <f aca="false">VLOOKUP($A148,'Institution Evaluation'!$A$56:$K$346,4,0)&amp;""</f>
        <v>NA</v>
      </c>
      <c r="E148" s="206" t="str">
        <f aca="false">VLOOKUP($A148,'Institution Evaluation'!$A$56:$K$346,5,0)&amp;""</f>
        <v/>
      </c>
      <c r="F148" s="209" t="str">
        <f aca="false">VLOOKUP($A148,'Institution Evaluation'!$A$56:$K$346,6,0)&amp;""</f>
        <v/>
      </c>
      <c r="G148" s="197" t="str">
        <f aca="false">VLOOKUP($A148,'Institution Evaluation'!$A$56:$K$346,7,0)&amp;""</f>
        <v>Yes</v>
      </c>
      <c r="H148" s="198" t="str">
        <f aca="false">VLOOKUP($A148,'Institution Evaluation'!$A$56:$K$346,8,0)&amp;""</f>
        <v/>
      </c>
      <c r="I148" s="199" t="str">
        <f aca="false">VLOOKUP($A148,'Institution Evaluation'!$A$56:$K$346,9,0)&amp;""</f>
        <v>Critical Importance</v>
      </c>
      <c r="J148" s="251" t="str">
        <f aca="false">VLOOKUP($A148,'Institution Evaluation'!$A$56:$K$346,10,0)&amp;""</f>
        <v/>
      </c>
      <c r="K148" s="200" t="str">
        <f aca="false">IF(VLOOKUP($A148,'Institution Evaluation'!$A$56:$K$346,10,0)=TRUE(),"Yes","")</f>
        <v/>
      </c>
    </row>
    <row r="149" customFormat="false" ht="99.95" hidden="false" customHeight="false" outlineLevel="0" collapsed="false">
      <c r="A149" s="35" t="s">
        <v>68</v>
      </c>
      <c r="B149" s="45" t="str">
        <f aca="false">VLOOKUP($A149,Questions!$A$2:$X$333,2,0)</f>
        <v>Do you have an implemented third-party management strategy?*</v>
      </c>
      <c r="C149" s="199" t="str">
        <f aca="false">VLOOKUP($A149,'Institution Evaluation'!$A$56:$K$346,3,0)&amp;""</f>
        <v>No</v>
      </c>
      <c r="D149" s="199" t="str">
        <f aca="false">VLOOKUP($A149,'Institution Evaluation'!$A$56:$K$346,4,0)&amp;""</f>
        <v>NA </v>
      </c>
      <c r="E149" s="206" t="str">
        <f aca="false">VLOOKUP($A149,'Institution Evaluation'!$A$56:$K$346,5,0)&amp;""</f>
        <v>State your plans to implement a third-party management strategy.</v>
      </c>
      <c r="F149" s="209" t="str">
        <f aca="false">VLOOKUP($A149,'Institution Evaluation'!$A$56:$K$346,6,0)&amp;""</f>
        <v/>
      </c>
      <c r="G149" s="197" t="str">
        <f aca="false">VLOOKUP($A149,'Institution Evaluation'!$A$56:$K$346,7,0)&amp;""</f>
        <v>Yes</v>
      </c>
      <c r="H149" s="198" t="str">
        <f aca="false">VLOOKUP($A149,'Institution Evaluation'!$A$56:$K$346,8,0)&amp;""</f>
        <v/>
      </c>
      <c r="I149" s="199" t="str">
        <f aca="false">VLOOKUP($A149,'Institution Evaluation'!$A$56:$K$346,9,0)&amp;""</f>
        <v>Critical Importance</v>
      </c>
      <c r="J149" s="251" t="str">
        <f aca="false">VLOOKUP($A149,'Institution Evaluation'!$A$56:$K$346,10,0)&amp;""</f>
        <v/>
      </c>
      <c r="K149" s="200" t="str">
        <f aca="false">IF(VLOOKUP($A149,'Institution Evaluation'!$A$56:$K$346,10,0)=TRUE(),"Yes","")</f>
        <v/>
      </c>
    </row>
    <row r="150" customFormat="false" ht="17.9" hidden="false" customHeight="false" outlineLevel="0" collapsed="false">
      <c r="A150" s="31" t="str">
        <f aca="false">VLOOKUP(LEFT($A151,4),'Auto Responses'!$N$4:$O$38,2,0)&amp;""</f>
        <v> Consulting Services</v>
      </c>
      <c r="B150" s="42"/>
      <c r="C150" s="43"/>
      <c r="D150" s="43"/>
      <c r="E150" s="204"/>
      <c r="F150" s="192" t="s">
        <v>454</v>
      </c>
      <c r="G150" s="201" t="s">
        <v>449</v>
      </c>
      <c r="H150" s="201" t="s">
        <v>450</v>
      </c>
      <c r="I150" s="201" t="s">
        <v>451</v>
      </c>
      <c r="J150" s="201" t="s">
        <v>452</v>
      </c>
      <c r="K150" s="43"/>
      <c r="L150" s="1"/>
      <c r="M150" s="1"/>
      <c r="N150" s="1"/>
    </row>
    <row r="151" customFormat="false" ht="31.3" hidden="false" customHeight="false" outlineLevel="0" collapsed="false">
      <c r="A151" s="35" t="s">
        <v>245</v>
      </c>
      <c r="B151" s="45" t="str">
        <f aca="false">VLOOKUP($A151,Questions!$A$2:$X$333,2,0)</f>
        <v>Will the consultant require access to the institution's network resources?*</v>
      </c>
      <c r="C151" s="199" t="str">
        <f aca="false">VLOOKUP($A151,'Institution Evaluation'!$A$56:$K$346,3,0)&amp;""</f>
        <v/>
      </c>
      <c r="D151" s="199" t="str">
        <f aca="false">VLOOKUP($A151,'Institution Evaluation'!$A$56:$K$346,4,0)&amp;""</f>
        <v>This question does not apply.</v>
      </c>
      <c r="E151" s="206" t="str">
        <f aca="false">VLOOKUP($A151,'Institution Evaluation'!$A$56:$K$346,5,0)&amp;""</f>
        <v>Based on the response to REQU-03 on the "START HERE" tab, this question does not apply to this product or service.</v>
      </c>
      <c r="F151" s="209" t="str">
        <f aca="false">VLOOKUP($A151,'Institution Evaluation'!$A$56:$K$346,6,0)&amp;""</f>
        <v/>
      </c>
      <c r="G151" s="197" t="str">
        <f aca="false">VLOOKUP($A151,'Institution Evaluation'!$A$56:$K$346,7,0)&amp;""</f>
        <v>No</v>
      </c>
      <c r="H151" s="198" t="str">
        <f aca="false">VLOOKUP($A151,'Institution Evaluation'!$A$56:$K$346,8,0)&amp;""</f>
        <v/>
      </c>
      <c r="I151" s="199" t="str">
        <f aca="false">VLOOKUP($A151,'Institution Evaluation'!$A$56:$K$346,9,0)&amp;""</f>
        <v>Critical Importance</v>
      </c>
      <c r="J151" s="251" t="str">
        <f aca="false">VLOOKUP($A151,'Institution Evaluation'!$A$56:$K$346,10,0)&amp;""</f>
        <v/>
      </c>
      <c r="K151" s="200" t="str">
        <f aca="false">IF(VLOOKUP($A151,'Institution Evaluation'!$A$56:$K$346,10,0)=TRUE(),"Yes","")</f>
        <v/>
      </c>
    </row>
    <row r="152" customFormat="false" ht="31.3" hidden="false" customHeight="false" outlineLevel="0" collapsed="false">
      <c r="A152" s="35" t="s">
        <v>246</v>
      </c>
      <c r="B152" s="45" t="str">
        <f aca="false">VLOOKUP($A152,Questions!$A$2:$X$333,2,0)</f>
        <v>Has the consultant received training on (sensitive, HIPAA, PCI, etc.) data handling?*</v>
      </c>
      <c r="C152" s="199" t="str">
        <f aca="false">VLOOKUP($A152,'Institution Evaluation'!$A$56:$K$346,3,0)&amp;""</f>
        <v/>
      </c>
      <c r="D152" s="199" t="str">
        <f aca="false">VLOOKUP($A152,'Institution Evaluation'!$A$56:$K$346,4,0)&amp;""</f>
        <v>This question does not apply.</v>
      </c>
      <c r="E152" s="206" t="str">
        <f aca="false">VLOOKUP($A152,'Institution Evaluation'!$A$56:$K$346,5,0)&amp;""</f>
        <v>Based on the response to REQU-03 on the "START HERE" tab, this question does not apply to this product or service.</v>
      </c>
      <c r="F152" s="209" t="str">
        <f aca="false">VLOOKUP($A152,'Institution Evaluation'!$A$56:$K$346,6,0)&amp;""</f>
        <v/>
      </c>
      <c r="G152" s="197" t="str">
        <f aca="false">VLOOKUP($A152,'Institution Evaluation'!$A$56:$K$346,7,0)&amp;""</f>
        <v>Yes</v>
      </c>
      <c r="H152" s="198" t="str">
        <f aca="false">VLOOKUP($A152,'Institution Evaluation'!$A$56:$K$346,8,0)&amp;""</f>
        <v/>
      </c>
      <c r="I152" s="199" t="str">
        <f aca="false">VLOOKUP($A152,'Institution Evaluation'!$A$56:$K$346,9,0)&amp;""</f>
        <v>Critical Importance</v>
      </c>
      <c r="J152" s="251" t="str">
        <f aca="false">VLOOKUP($A152,'Institution Evaluation'!$A$56:$K$346,10,0)&amp;""</f>
        <v/>
      </c>
      <c r="K152" s="200" t="str">
        <f aca="false">IF(VLOOKUP($A152,'Institution Evaluation'!$A$56:$K$346,10,0)=TRUE(),"Yes","")</f>
        <v/>
      </c>
    </row>
    <row r="153" s="1" customFormat="true" ht="31.3" hidden="false" customHeight="false" outlineLevel="0" collapsed="false">
      <c r="A153" s="35" t="s">
        <v>247</v>
      </c>
      <c r="B153" s="45" t="str">
        <f aca="false">VLOOKUP($A153,Questions!$A$2:$X$333,2,0)</f>
        <v>Is the data encrypted (at rest) while in the consultant's possession?*</v>
      </c>
      <c r="C153" s="199" t="str">
        <f aca="false">VLOOKUP($A153,'Institution Evaluation'!$A$56:$K$346,3,0)&amp;""</f>
        <v/>
      </c>
      <c r="D153" s="199" t="str">
        <f aca="false">VLOOKUP($A153,'Institution Evaluation'!$A$56:$K$346,4,0)&amp;""</f>
        <v>This question does not apply.</v>
      </c>
      <c r="E153" s="206" t="str">
        <f aca="false">VLOOKUP($A153,'Institution Evaluation'!$A$56:$K$346,5,0)&amp;""</f>
        <v>Based on the response to REQU-03 on the "START HERE" tab, this question does not apply to this product or service.</v>
      </c>
      <c r="F153" s="209" t="str">
        <f aca="false">VLOOKUP($A153,'Institution Evaluation'!$A$56:$K$346,6,0)&amp;""</f>
        <v/>
      </c>
      <c r="G153" s="197" t="str">
        <f aca="false">VLOOKUP($A153,'Institution Evaluation'!$A$56:$K$346,7,0)&amp;""</f>
        <v>Yes</v>
      </c>
      <c r="H153" s="198" t="str">
        <f aca="false">VLOOKUP($A153,'Institution Evaluation'!$A$56:$K$346,8,0)&amp;""</f>
        <v/>
      </c>
      <c r="I153" s="199" t="str">
        <f aca="false">VLOOKUP($A153,'Institution Evaluation'!$A$56:$K$346,9,0)&amp;""</f>
        <v>Critical Importance</v>
      </c>
      <c r="J153" s="251" t="str">
        <f aca="false">VLOOKUP($A153,'Institution Evaluation'!$A$56:$K$346,10,0)&amp;""</f>
        <v/>
      </c>
      <c r="K153" s="200" t="str">
        <f aca="false">IF(VLOOKUP($A153,'Institution Evaluation'!$A$56:$K$346,10,0)=TRUE(),"Yes","")</f>
        <v/>
      </c>
      <c r="L153" s="101"/>
      <c r="M153" s="101"/>
      <c r="N153" s="101"/>
    </row>
    <row r="154" customFormat="false" ht="31.3" hidden="false" customHeight="false" outlineLevel="0" collapsed="false">
      <c r="A154" s="35" t="s">
        <v>248</v>
      </c>
      <c r="B154" s="45" t="str">
        <f aca="false">VLOOKUP($A154,Questions!$A$2:$X$333,2,0)</f>
        <v>Can access be restricted based on source IP address?*</v>
      </c>
      <c r="C154" s="199" t="str">
        <f aca="false">VLOOKUP($A154,'Institution Evaluation'!$A$56:$K$346,3,0)&amp;""</f>
        <v/>
      </c>
      <c r="D154" s="199" t="str">
        <f aca="false">VLOOKUP($A154,'Institution Evaluation'!$A$56:$K$346,4,0)&amp;""</f>
        <v>This question does not apply.</v>
      </c>
      <c r="E154" s="206" t="str">
        <f aca="false">VLOOKUP($A154,'Institution Evaluation'!$A$56:$K$346,5,0)&amp;""</f>
        <v>Based on the response to REQU-03 on the "START HERE" tab, this question does not apply to this product or service.</v>
      </c>
      <c r="F154" s="209" t="str">
        <f aca="false">VLOOKUP($A154,'Institution Evaluation'!$A$56:$K$346,6,0)&amp;""</f>
        <v/>
      </c>
      <c r="G154" s="197" t="str">
        <f aca="false">VLOOKUP($A154,'Institution Evaluation'!$A$56:$K$346,7,0)&amp;""</f>
        <v>Yes</v>
      </c>
      <c r="H154" s="198" t="str">
        <f aca="false">VLOOKUP($A154,'Institution Evaluation'!$A$56:$K$346,8,0)&amp;""</f>
        <v/>
      </c>
      <c r="I154" s="199" t="str">
        <f aca="false">VLOOKUP($A154,'Institution Evaluation'!$A$56:$K$346,9,0)&amp;""</f>
        <v>Critical Importance</v>
      </c>
      <c r="J154" s="251" t="str">
        <f aca="false">VLOOKUP($A154,'Institution Evaluation'!$A$56:$K$346,10,0)&amp;""</f>
        <v/>
      </c>
      <c r="K154" s="200" t="str">
        <f aca="false">IF(VLOOKUP($A154,'Institution Evaluation'!$A$56:$K$346,10,0)=TRUE(),"Yes","")</f>
        <v/>
      </c>
    </row>
    <row r="155" customFormat="false" ht="17.9" hidden="false" customHeight="false" outlineLevel="0" collapsed="false">
      <c r="A155" s="35" t="s">
        <v>249</v>
      </c>
      <c r="B155" s="45" t="str">
        <f aca="false">VLOOKUP($A155,Questions!$A$2:$X$333,2,0)</f>
        <v>Will the consulting take place on-premises?</v>
      </c>
      <c r="C155" s="199" t="str">
        <f aca="false">VLOOKUP($A155,'Institution Evaluation'!$A$56:$K$346,3,0)&amp;""</f>
        <v/>
      </c>
      <c r="D155" s="199" t="str">
        <f aca="false">VLOOKUP($A155,'Institution Evaluation'!$A$56:$K$346,4,0)&amp;""</f>
        <v>This question does not apply.</v>
      </c>
      <c r="E155" s="206" t="str">
        <f aca="false">VLOOKUP($A155,'Institution Evaluation'!$A$56:$K$346,5,0)&amp;""</f>
        <v>Based on the response to REQU-03 on the "START HERE" tab, this question does not apply to this product or service.</v>
      </c>
      <c r="F155" s="209" t="str">
        <f aca="false">VLOOKUP($A155,'Institution Evaluation'!$A$56:$K$346,6,0)&amp;""</f>
        <v/>
      </c>
      <c r="G155" s="197" t="str">
        <f aca="false">VLOOKUP($A155,'Institution Evaluation'!$A$56:$K$346,7,0)&amp;""</f>
        <v>No</v>
      </c>
      <c r="H155" s="198" t="str">
        <f aca="false">VLOOKUP($A155,'Institution Evaluation'!$A$56:$K$346,8,0)&amp;""</f>
        <v/>
      </c>
      <c r="I155" s="199" t="str">
        <f aca="false">VLOOKUP($A155,'Institution Evaluation'!$A$56:$K$346,9,0)&amp;""</f>
        <v>Standard Importance</v>
      </c>
      <c r="J155" s="251" t="str">
        <f aca="false">VLOOKUP($A155,'Institution Evaluation'!$A$56:$K$346,10,0)&amp;""</f>
        <v/>
      </c>
      <c r="K155" s="200" t="str">
        <f aca="false">IF(VLOOKUP($A155,'Institution Evaluation'!$A$56:$K$346,10,0)=TRUE(),"Yes","")</f>
        <v/>
      </c>
    </row>
    <row r="156" customFormat="false" ht="31.3" hidden="false" customHeight="false" outlineLevel="0" collapsed="false">
      <c r="A156" s="35" t="s">
        <v>250</v>
      </c>
      <c r="B156" s="45" t="str">
        <f aca="false">VLOOKUP($A156,Questions!$A$2:$X$333,2,0)</f>
        <v>Will the consultant require access to hardware in the institution's data centers?</v>
      </c>
      <c r="C156" s="199" t="str">
        <f aca="false">VLOOKUP($A156,'Institution Evaluation'!$A$56:$K$346,3,0)&amp;""</f>
        <v/>
      </c>
      <c r="D156" s="199" t="str">
        <f aca="false">VLOOKUP($A156,'Institution Evaluation'!$A$56:$K$346,4,0)&amp;""</f>
        <v>This question does not apply.</v>
      </c>
      <c r="E156" s="206" t="str">
        <f aca="false">VLOOKUP($A156,'Institution Evaluation'!$A$56:$K$346,5,0)&amp;""</f>
        <v>Based on the response to REQU-03 on the "START HERE" tab, this question does not apply to this product or service.</v>
      </c>
      <c r="F156" s="209" t="str">
        <f aca="false">VLOOKUP($A156,'Institution Evaluation'!$A$56:$K$346,6,0)&amp;""</f>
        <v/>
      </c>
      <c r="G156" s="197" t="str">
        <f aca="false">VLOOKUP($A156,'Institution Evaluation'!$A$56:$K$346,7,0)&amp;""</f>
        <v>No</v>
      </c>
      <c r="H156" s="198" t="str">
        <f aca="false">VLOOKUP($A156,'Institution Evaluation'!$A$56:$K$346,8,0)&amp;""</f>
        <v/>
      </c>
      <c r="I156" s="199" t="str">
        <f aca="false">VLOOKUP($A156,'Institution Evaluation'!$A$56:$K$346,9,0)&amp;""</f>
        <v>Standard Importance</v>
      </c>
      <c r="J156" s="251" t="str">
        <f aca="false">VLOOKUP($A156,'Institution Evaluation'!$A$56:$K$346,10,0)&amp;""</f>
        <v/>
      </c>
      <c r="K156" s="200" t="str">
        <f aca="false">IF(VLOOKUP($A156,'Institution Evaluation'!$A$56:$K$346,10,0)=TRUE(),"Yes","")</f>
        <v/>
      </c>
    </row>
    <row r="157" s="1" customFormat="true" ht="31.3" hidden="false" customHeight="false" outlineLevel="0" collapsed="false">
      <c r="A157" s="35" t="s">
        <v>251</v>
      </c>
      <c r="B157" s="45" t="str">
        <f aca="false">VLOOKUP($A157,Questions!$A$2:$X$333,2,0)</f>
        <v>Will the consultant require an account within the institution's domain (@*.edu)?</v>
      </c>
      <c r="C157" s="199" t="str">
        <f aca="false">VLOOKUP($A157,'Institution Evaluation'!$A$56:$K$346,3,0)&amp;""</f>
        <v/>
      </c>
      <c r="D157" s="199" t="str">
        <f aca="false">VLOOKUP($A157,'Institution Evaluation'!$A$56:$K$346,4,0)&amp;""</f>
        <v>This question does not apply.</v>
      </c>
      <c r="E157" s="206" t="str">
        <f aca="false">VLOOKUP($A157,'Institution Evaluation'!$A$56:$K$346,5,0)&amp;""</f>
        <v>Based on the response to REQU-03 on the "START HERE" tab, this question does not apply to this product or service.</v>
      </c>
      <c r="F157" s="209" t="str">
        <f aca="false">VLOOKUP($A157,'Institution Evaluation'!$A$56:$K$346,6,0)&amp;""</f>
        <v/>
      </c>
      <c r="G157" s="197" t="str">
        <f aca="false">VLOOKUP($A157,'Institution Evaluation'!$A$56:$K$346,7,0)&amp;""</f>
        <v>No</v>
      </c>
      <c r="H157" s="198" t="str">
        <f aca="false">VLOOKUP($A157,'Institution Evaluation'!$A$56:$K$346,8,0)&amp;""</f>
        <v/>
      </c>
      <c r="I157" s="199" t="str">
        <f aca="false">VLOOKUP($A157,'Institution Evaluation'!$A$56:$K$346,9,0)&amp;""</f>
        <v>Standard Importance</v>
      </c>
      <c r="J157" s="251" t="str">
        <f aca="false">VLOOKUP($A157,'Institution Evaluation'!$A$56:$K$346,10,0)&amp;""</f>
        <v/>
      </c>
      <c r="K157" s="200" t="str">
        <f aca="false">IF(VLOOKUP($A157,'Institution Evaluation'!$A$56:$K$346,10,0)=TRUE(),"Yes","")</f>
        <v/>
      </c>
      <c r="L157" s="101"/>
      <c r="M157" s="101"/>
      <c r="N157" s="101"/>
    </row>
    <row r="158" customFormat="false" ht="31.3" hidden="false" customHeight="false" outlineLevel="0" collapsed="false">
      <c r="A158" s="35" t="s">
        <v>252</v>
      </c>
      <c r="B158" s="45" t="str">
        <f aca="false">VLOOKUP($A158,Questions!$A$2:$X$333,2,0)</f>
        <v>Will any data be transferred to the consultant's possession?</v>
      </c>
      <c r="C158" s="199" t="str">
        <f aca="false">VLOOKUP($A158,'Institution Evaluation'!$A$56:$K$346,3,0)&amp;""</f>
        <v/>
      </c>
      <c r="D158" s="199" t="str">
        <f aca="false">VLOOKUP($A158,'Institution Evaluation'!$A$56:$K$346,4,0)&amp;""</f>
        <v>This question does not apply.</v>
      </c>
      <c r="E158" s="206" t="str">
        <f aca="false">VLOOKUP($A158,'Institution Evaluation'!$A$56:$K$346,5,0)&amp;""</f>
        <v>Based on the response to REQU-03 on the "START HERE" tab, this question does not apply to this product or service.</v>
      </c>
      <c r="F158" s="209" t="str">
        <f aca="false">VLOOKUP($A158,'Institution Evaluation'!$A$56:$K$346,6,0)&amp;""</f>
        <v/>
      </c>
      <c r="G158" s="197" t="str">
        <f aca="false">VLOOKUP($A158,'Institution Evaluation'!$A$56:$K$346,7,0)&amp;""</f>
        <v>No</v>
      </c>
      <c r="H158" s="198" t="str">
        <f aca="false">VLOOKUP($A158,'Institution Evaluation'!$A$56:$K$346,8,0)&amp;""</f>
        <v/>
      </c>
      <c r="I158" s="199" t="str">
        <f aca="false">VLOOKUP($A158,'Institution Evaluation'!$A$56:$K$346,9,0)&amp;""</f>
        <v>Standard Importance</v>
      </c>
      <c r="J158" s="251" t="str">
        <f aca="false">VLOOKUP($A158,'Institution Evaluation'!$A$56:$K$346,10,0)&amp;""</f>
        <v/>
      </c>
      <c r="K158" s="200" t="str">
        <f aca="false">IF(VLOOKUP($A158,'Institution Evaluation'!$A$56:$K$346,10,0)=TRUE(),"Yes","")</f>
        <v/>
      </c>
    </row>
    <row r="159" customFormat="false" ht="31.3" hidden="false" customHeight="false" outlineLevel="0" collapsed="false">
      <c r="A159" s="35" t="s">
        <v>253</v>
      </c>
      <c r="B159" s="45" t="str">
        <f aca="false">VLOOKUP($A159,Questions!$A$2:$X$333,2,0)</f>
        <v>Will the consultant need remote access to the institution's network or systems?</v>
      </c>
      <c r="C159" s="199" t="str">
        <f aca="false">VLOOKUP($A159,'Institution Evaluation'!$A$56:$K$346,3,0)&amp;""</f>
        <v/>
      </c>
      <c r="D159" s="199" t="str">
        <f aca="false">VLOOKUP($A159,'Institution Evaluation'!$A$56:$K$346,4,0)&amp;""</f>
        <v>This question does not apply.</v>
      </c>
      <c r="E159" s="206" t="str">
        <f aca="false">VLOOKUP($A159,'Institution Evaluation'!$A$56:$K$346,5,0)&amp;""</f>
        <v>Based on the response to REQU-03 on the "START HERE" tab, this question does not apply to this product or service.</v>
      </c>
      <c r="F159" s="209" t="str">
        <f aca="false">VLOOKUP($A159,'Institution Evaluation'!$A$56:$K$346,6,0)&amp;""</f>
        <v/>
      </c>
      <c r="G159" s="197" t="str">
        <f aca="false">VLOOKUP($A159,'Institution Evaluation'!$A$56:$K$346,7,0)&amp;""</f>
        <v>No</v>
      </c>
      <c r="H159" s="198" t="str">
        <f aca="false">VLOOKUP($A159,'Institution Evaluation'!$A$56:$K$346,8,0)&amp;""</f>
        <v/>
      </c>
      <c r="I159" s="199" t="str">
        <f aca="false">VLOOKUP($A159,'Institution Evaluation'!$A$56:$K$346,9,0)&amp;""</f>
        <v>Standard Importance</v>
      </c>
      <c r="J159" s="251" t="str">
        <f aca="false">VLOOKUP($A159,'Institution Evaluation'!$A$56:$K$346,10,0)&amp;""</f>
        <v/>
      </c>
      <c r="K159" s="200" t="str">
        <f aca="false">IF(VLOOKUP($A159,'Institution Evaluation'!$A$56:$K$346,10,0)=TRUE(),"Yes","")</f>
        <v/>
      </c>
    </row>
    <row r="160" customFormat="false" ht="17.9" hidden="false" customHeight="false" outlineLevel="0" collapsed="false">
      <c r="A160" s="31" t="str">
        <f aca="false">VLOOKUP(LEFT($A161,4),'Auto Responses'!$N$4:$O$38,2,0)&amp;""</f>
        <v> Application/Service Security</v>
      </c>
      <c r="B160" s="42"/>
      <c r="C160" s="43"/>
      <c r="D160" s="43"/>
      <c r="E160" s="204"/>
      <c r="F160" s="192" t="s">
        <v>454</v>
      </c>
      <c r="G160" s="201" t="s">
        <v>449</v>
      </c>
      <c r="H160" s="201" t="s">
        <v>450</v>
      </c>
      <c r="I160" s="201" t="s">
        <v>451</v>
      </c>
      <c r="J160" s="201" t="s">
        <v>452</v>
      </c>
      <c r="K160" s="43"/>
      <c r="L160" s="1"/>
      <c r="M160" s="1"/>
      <c r="N160" s="1"/>
    </row>
    <row r="161" customFormat="false" ht="182.05" hidden="false" customHeight="false" outlineLevel="0" collapsed="false">
      <c r="A161" s="35" t="s">
        <v>158</v>
      </c>
      <c r="B161" s="45" t="str">
        <f aca="false">VLOOKUP($A161,Questions!$A$2:$X$333,2,0)</f>
        <v>Are access controls for institutional accounts based on structured rules, such as role-based access control (RBAC), attribute-based access control (ABAC), or policy-based access control (PBAC)?*</v>
      </c>
      <c r="C161" s="199" t="str">
        <f aca="false">VLOOKUP($A161,'Institution Evaluation'!$A$56:$K$346,3,0)&amp;""</f>
        <v/>
      </c>
      <c r="D161" s="199" t="str">
        <f aca="false">VLOOKUP($A161,'Institution Evaluation'!$A$56:$K$346,4,0)&amp;""</f>
        <v>This question does not apply.</v>
      </c>
      <c r="E161" s="206" t="str">
        <f aca="false">VLOOKUP($A161,'Institution Evaluation'!$A$56:$K$346,5,0)&amp;""</f>
        <v>Based on the response to REQU-01 on the "START HERE" tab, this question does not apply to this product or service. </v>
      </c>
      <c r="F161" s="209" t="str">
        <f aca="false">VLOOKUP($A161,'Institution Evaluation'!$A$56:$K$346,6,0)&amp;""</f>
        <v/>
      </c>
      <c r="G161" s="197" t="str">
        <f aca="false">VLOOKUP($A161,'Institution Evaluation'!$A$56:$K$346,7,0)&amp;""</f>
        <v>Yes</v>
      </c>
      <c r="H161" s="198" t="str">
        <f aca="false">VLOOKUP($A161,'Institution Evaluation'!$A$56:$K$346,8,0)&amp;""</f>
        <v/>
      </c>
      <c r="I161" s="199" t="str">
        <f aca="false">VLOOKUP($A161,'Institution Evaluation'!$A$56:$K$346,9,0)&amp;""</f>
        <v>Critical Importance</v>
      </c>
      <c r="J161" s="251" t="str">
        <f aca="false">VLOOKUP($A161,'Institution Evaluation'!$A$56:$K$346,10,0)&amp;""</f>
        <v/>
      </c>
      <c r="K161" s="200" t="str">
        <f aca="false">IF(VLOOKUP($A161,'Institution Evaluation'!$A$56:$K$346,10,0)=TRUE(),"Yes","")</f>
        <v/>
      </c>
    </row>
    <row r="162" customFormat="false" ht="17.9" hidden="false" customHeight="false" outlineLevel="0" collapsed="false">
      <c r="A162" s="35" t="s">
        <v>159</v>
      </c>
      <c r="B162" s="45" t="str">
        <f aca="false">VLOOKUP($A162,Questions!$A$2:$X$333,2,0)</f>
        <v>Are you using a web application firewall (WAF)?*</v>
      </c>
      <c r="C162" s="199" t="str">
        <f aca="false">VLOOKUP($A162,'Institution Evaluation'!$A$56:$K$346,3,0)&amp;""</f>
        <v/>
      </c>
      <c r="D162" s="199" t="str">
        <f aca="false">VLOOKUP($A162,'Institution Evaluation'!$A$56:$K$346,4,0)&amp;""</f>
        <v>This question does not apply.</v>
      </c>
      <c r="E162" s="206" t="str">
        <f aca="false">VLOOKUP($A162,'Institution Evaluation'!$A$56:$K$346,5,0)&amp;""</f>
        <v>Based on the response to REQU-01 on the "START HERE" tab, this question does not apply to this product or service. </v>
      </c>
      <c r="F162" s="209" t="str">
        <f aca="false">VLOOKUP($A162,'Institution Evaluation'!$A$56:$K$346,6,0)&amp;""</f>
        <v/>
      </c>
      <c r="G162" s="197" t="str">
        <f aca="false">VLOOKUP($A162,'Institution Evaluation'!$A$56:$K$346,7,0)&amp;""</f>
        <v>Yes</v>
      </c>
      <c r="H162" s="198" t="str">
        <f aca="false">VLOOKUP($A162,'Institution Evaluation'!$A$56:$K$346,8,0)&amp;""</f>
        <v/>
      </c>
      <c r="I162" s="199" t="str">
        <f aca="false">VLOOKUP($A162,'Institution Evaluation'!$A$56:$K$346,9,0)&amp;""</f>
        <v>Critical Importance</v>
      </c>
      <c r="J162" s="251" t="str">
        <f aca="false">VLOOKUP($A162,'Institution Evaluation'!$A$56:$K$346,10,0)&amp;""</f>
        <v/>
      </c>
      <c r="K162" s="200" t="str">
        <f aca="false">IF(VLOOKUP($A162,'Institution Evaluation'!$A$56:$K$346,10,0)=TRUE(),"Yes","")</f>
        <v/>
      </c>
    </row>
    <row r="163" s="1" customFormat="true" ht="198.5" hidden="false" customHeight="false" outlineLevel="0" collapsed="false">
      <c r="A163" s="35" t="s">
        <v>165</v>
      </c>
      <c r="B163" s="45" t="str">
        <f aca="false">VLOOKUP($A163,Questions!$A$2:$X$333,2,0)</f>
        <v>Are access controls for staff within your organization based on structured rules, such as RBAC, ABAC, or PBAC?</v>
      </c>
      <c r="C163" s="199" t="str">
        <f aca="false">VLOOKUP($A163,'Institution Evaluation'!$A$56:$K$346,3,0)&amp;""</f>
        <v/>
      </c>
      <c r="D163" s="199" t="str">
        <f aca="false">VLOOKUP($A163,'Institution Evaluation'!$A$56:$K$346,4,0)&amp;""</f>
        <v>This question does not apply.</v>
      </c>
      <c r="E163" s="206" t="str">
        <f aca="false">VLOOKUP($A163,'Institution Evaluation'!$A$56:$K$346,5,0)&amp;""</f>
        <v>Based on the response to REQU-01 on the "START HERE" tab, this question does not apply to this product or service. </v>
      </c>
      <c r="F163" s="209" t="str">
        <f aca="false">VLOOKUP($A163,'Institution Evaluation'!$A$56:$K$346,6,0)&amp;""</f>
        <v/>
      </c>
      <c r="G163" s="197" t="str">
        <f aca="false">VLOOKUP($A163,'Institution Evaluation'!$A$56:$K$346,7,0)&amp;""</f>
        <v>Yes</v>
      </c>
      <c r="H163" s="198" t="str">
        <f aca="false">VLOOKUP($A163,'Institution Evaluation'!$A$56:$K$346,8,0)&amp;""</f>
        <v/>
      </c>
      <c r="I163" s="199" t="str">
        <f aca="false">VLOOKUP($A163,'Institution Evaluation'!$A$56:$K$346,9,0)&amp;""</f>
        <v>Standard Importance</v>
      </c>
      <c r="J163" s="251" t="str">
        <f aca="false">VLOOKUP($A163,'Institution Evaluation'!$A$56:$K$346,10,0)&amp;""</f>
        <v/>
      </c>
      <c r="K163" s="200" t="str">
        <f aca="false">IF(VLOOKUP($A163,'Institution Evaluation'!$A$56:$K$346,10,0)=TRUE(),"Yes","")</f>
        <v/>
      </c>
      <c r="L163" s="101"/>
      <c r="M163" s="101"/>
      <c r="N163" s="101"/>
    </row>
    <row r="164" customFormat="false" ht="17.9" hidden="false" customHeight="false" outlineLevel="0" collapsed="false">
      <c r="A164" s="31" t="str">
        <f aca="false">VLOOKUP(LEFT($A165,4),'Auto Responses'!$N$4:$O$38,2,0)&amp;""</f>
        <v> Authentication, Authorization, and Account Management</v>
      </c>
      <c r="B164" s="42"/>
      <c r="C164" s="43"/>
      <c r="D164" s="43"/>
      <c r="E164" s="204"/>
      <c r="F164" s="192" t="s">
        <v>454</v>
      </c>
      <c r="G164" s="201" t="s">
        <v>449</v>
      </c>
      <c r="H164" s="201" t="s">
        <v>450</v>
      </c>
      <c r="I164" s="201" t="s">
        <v>451</v>
      </c>
      <c r="J164" s="201" t="s">
        <v>452</v>
      </c>
      <c r="K164" s="43"/>
      <c r="L164" s="1"/>
      <c r="M164" s="1"/>
      <c r="N164" s="1"/>
    </row>
    <row r="165" customFormat="false" ht="182.05" hidden="false" customHeight="false" outlineLevel="0" collapsed="false">
      <c r="A165" s="35" t="s">
        <v>116</v>
      </c>
      <c r="B165" s="45" t="str">
        <f aca="false">VLOOKUP($A165,Questions!$A$2:$X$333,2,0)</f>
        <v>Does your solution support single sign-on (SSO) protocols for user and administrator authentication?*</v>
      </c>
      <c r="C165" s="199" t="str">
        <f aca="false">VLOOKUP($A165,'Institution Evaluation'!$A$56:$K$346,3,0)&amp;""</f>
        <v/>
      </c>
      <c r="D165" s="199" t="str">
        <f aca="false">VLOOKUP($A165,'Institution Evaluation'!$A$56:$K$346,4,0)&amp;""</f>
        <v>This question does not apply.</v>
      </c>
      <c r="E165" s="206" t="str">
        <f aca="false">VLOOKUP($A165,'Institution Evaluation'!$A$56:$K$346,5,0)&amp;""</f>
        <v>Based on the response to REQU-01 on the "START HERE" tab, this question does not apply to this product or service. </v>
      </c>
      <c r="F165" s="209" t="str">
        <f aca="false">VLOOKUP($A165,'Institution Evaluation'!$A$56:$K$346,6,0)&amp;""</f>
        <v/>
      </c>
      <c r="G165" s="197" t="str">
        <f aca="false">VLOOKUP($A165,'Institution Evaluation'!$A$56:$K$346,7,0)&amp;""</f>
        <v>Yes</v>
      </c>
      <c r="H165" s="198" t="str">
        <f aca="false">VLOOKUP($A165,'Institution Evaluation'!$A$56:$K$346,8,0)&amp;""</f>
        <v/>
      </c>
      <c r="I165" s="199" t="str">
        <f aca="false">VLOOKUP($A165,'Institution Evaluation'!$A$56:$K$346,9,0)&amp;""</f>
        <v>Critical Importance</v>
      </c>
      <c r="J165" s="251" t="str">
        <f aca="false">VLOOKUP($A165,'Institution Evaluation'!$A$56:$K$346,10,0)&amp;""</f>
        <v/>
      </c>
      <c r="K165" s="200" t="str">
        <f aca="false">IF(VLOOKUP($A165,'Institution Evaluation'!$A$56:$K$346,10,0)=TRUE(),"Yes","")</f>
        <v/>
      </c>
    </row>
    <row r="166" s="1" customFormat="true" ht="46.25" hidden="false" customHeight="false" outlineLevel="0" collapsed="false">
      <c r="A166" s="35" t="s">
        <v>117</v>
      </c>
      <c r="B166" s="45" t="str">
        <f aca="false">VLOOKUP($A166,Questions!$A$2:$X$333,2,0)</f>
        <v>For customers not using SSO, does your solution support local authentication protocols for user and administrator authentication?*</v>
      </c>
      <c r="C166" s="199" t="str">
        <f aca="false">VLOOKUP($A166,'Institution Evaluation'!$A$56:$K$346,3,0)&amp;""</f>
        <v/>
      </c>
      <c r="D166" s="199" t="str">
        <f aca="false">VLOOKUP($A166,'Institution Evaluation'!$A$56:$K$346,4,0)&amp;""</f>
        <v>This question does not apply.</v>
      </c>
      <c r="E166" s="206" t="str">
        <f aca="false">VLOOKUP($A166,'Institution Evaluation'!$A$56:$K$346,5,0)&amp;""</f>
        <v>Based on the response to REQU-01 on the "START HERE" tab, this question does not apply to this product or service. </v>
      </c>
      <c r="F166" s="209" t="str">
        <f aca="false">VLOOKUP($A166,'Institution Evaluation'!$A$56:$K$346,6,0)&amp;""</f>
        <v/>
      </c>
      <c r="G166" s="197" t="str">
        <f aca="false">VLOOKUP($A166,'Institution Evaluation'!$A$56:$K$346,7,0)&amp;""</f>
        <v>Yes</v>
      </c>
      <c r="H166" s="198" t="str">
        <f aca="false">VLOOKUP($A166,'Institution Evaluation'!$A$56:$K$346,8,0)&amp;""</f>
        <v/>
      </c>
      <c r="I166" s="199" t="str">
        <f aca="false">VLOOKUP($A166,'Institution Evaluation'!$A$56:$K$346,9,0)&amp;""</f>
        <v>Critical Importance</v>
      </c>
      <c r="J166" s="251" t="str">
        <f aca="false">VLOOKUP($A166,'Institution Evaluation'!$A$56:$K$346,10,0)&amp;""</f>
        <v/>
      </c>
      <c r="K166" s="200" t="str">
        <f aca="false">IF(VLOOKUP($A166,'Institution Evaluation'!$A$56:$K$346,10,0)=TRUE(),"Yes","")</f>
        <v/>
      </c>
      <c r="L166" s="101"/>
      <c r="M166" s="101"/>
      <c r="N166" s="101"/>
    </row>
    <row r="167" customFormat="false" ht="46.25" hidden="false" customHeight="false" outlineLevel="0" collapsed="false">
      <c r="A167" s="35" t="s">
        <v>127</v>
      </c>
      <c r="B167" s="45" t="str">
        <f aca="false">VLOOKUP($A167,Questions!$A$2:$X$333,2,0)</f>
        <v>For customers not using SSO, does your application support integration with other authentication and authorization systems?</v>
      </c>
      <c r="C167" s="199" t="str">
        <f aca="false">VLOOKUP($A167,'Institution Evaluation'!$A$56:$K$346,3,0)&amp;""</f>
        <v/>
      </c>
      <c r="D167" s="199" t="str">
        <f aca="false">VLOOKUP($A167,'Institution Evaluation'!$A$56:$K$346,4,0)&amp;""</f>
        <v/>
      </c>
      <c r="E167" s="206" t="str">
        <f aca="false">VLOOKUP($A167,'Institution Evaluation'!$A$56:$K$346,5,0)&amp;""</f>
        <v>Based on the response to REQU-01 on the "START HERE" tab, this question does not apply to this product or service. </v>
      </c>
      <c r="F167" s="209" t="str">
        <f aca="false">VLOOKUP($A167,'Institution Evaluation'!$A$56:$K$346,6,0)&amp;""</f>
        <v/>
      </c>
      <c r="G167" s="197" t="str">
        <f aca="false">VLOOKUP($A167,'Institution Evaluation'!$A$56:$K$346,7,0)&amp;""</f>
        <v>Yes</v>
      </c>
      <c r="H167" s="198" t="str">
        <f aca="false">VLOOKUP($A167,'Institution Evaluation'!$A$56:$K$346,8,0)&amp;""</f>
        <v/>
      </c>
      <c r="I167" s="199" t="str">
        <f aca="false">VLOOKUP($A167,'Institution Evaluation'!$A$56:$K$346,9,0)&amp;""</f>
        <v>Standard Importance</v>
      </c>
      <c r="J167" s="251" t="str">
        <f aca="false">VLOOKUP($A167,'Institution Evaluation'!$A$56:$K$346,10,0)&amp;""</f>
        <v/>
      </c>
      <c r="K167" s="200" t="str">
        <f aca="false">IF(VLOOKUP($A167,'Institution Evaluation'!$A$56:$K$346,10,0)=TRUE(),"Yes","")</f>
        <v/>
      </c>
    </row>
    <row r="168" customFormat="false" ht="61.15" hidden="false" customHeight="false" outlineLevel="0" collapsed="false">
      <c r="A168" s="35" t="s">
        <v>128</v>
      </c>
      <c r="B168" s="45" t="str">
        <f aca="false">VLOOKUP($A168,Questions!$A$2:$X$333,2,0)</f>
        <v>Do you allow the customer to specify attribute mappings for any needed information beyond a user identifier? (e.g., Reference eduPerson, ePPA/ePPN/ePE)</v>
      </c>
      <c r="C168" s="199" t="str">
        <f aca="false">VLOOKUP($A168,'Institution Evaluation'!$A$56:$K$346,3,0)&amp;""</f>
        <v/>
      </c>
      <c r="D168" s="199" t="str">
        <f aca="false">VLOOKUP($A168,'Institution Evaluation'!$A$56:$K$346,4,0)&amp;""</f>
        <v/>
      </c>
      <c r="E168" s="206" t="str">
        <f aca="false">VLOOKUP($A168,'Institution Evaluation'!$A$56:$K$346,5,0)&amp;""</f>
        <v>Based on the response to REQU-01 on the "START HERE" tab, this question does not apply to this product or service. </v>
      </c>
      <c r="F168" s="209" t="str">
        <f aca="false">VLOOKUP($A168,'Institution Evaluation'!$A$56:$K$346,6,0)&amp;""</f>
        <v/>
      </c>
      <c r="G168" s="197" t="str">
        <f aca="false">VLOOKUP($A168,'Institution Evaluation'!$A$56:$K$346,7,0)&amp;""</f>
        <v>Yes</v>
      </c>
      <c r="H168" s="198" t="str">
        <f aca="false">VLOOKUP($A168,'Institution Evaluation'!$A$56:$K$346,8,0)&amp;""</f>
        <v/>
      </c>
      <c r="I168" s="199" t="str">
        <f aca="false">VLOOKUP($A168,'Institution Evaluation'!$A$56:$K$346,9,0)&amp;""</f>
        <v>Standard Importance</v>
      </c>
      <c r="J168" s="251" t="str">
        <f aca="false">VLOOKUP($A168,'Institution Evaluation'!$A$56:$K$346,10,0)&amp;""</f>
        <v/>
      </c>
      <c r="K168" s="200" t="str">
        <f aca="false">IF(VLOOKUP($A168,'Institution Evaluation'!$A$56:$K$346,10,0)=TRUE(),"Yes","")</f>
        <v/>
      </c>
    </row>
    <row r="169" customFormat="false" ht="61.15" hidden="false" customHeight="false" outlineLevel="0" collapsed="false">
      <c r="A169" s="35" t="s">
        <v>132</v>
      </c>
      <c r="B169" s="45" t="str">
        <f aca="false">VLOOKUP($A169,Questions!$A$2:$X$333,2,0)</f>
        <v>For customers not using SSO, does your application and/or user frontend/portal support multifactor authentication (e.g., Duo, Google Authenticator, OTP, etc.)?</v>
      </c>
      <c r="C169" s="199" t="str">
        <f aca="false">VLOOKUP($A169,'Institution Evaluation'!$A$56:$K$346,3,0)&amp;""</f>
        <v/>
      </c>
      <c r="D169" s="199" t="str">
        <f aca="false">VLOOKUP($A169,'Institution Evaluation'!$A$56:$K$346,4,0)&amp;""</f>
        <v/>
      </c>
      <c r="E169" s="206" t="str">
        <f aca="false">VLOOKUP($A169,'Institution Evaluation'!$A$56:$K$346,5,0)&amp;""</f>
        <v>Based on the response to REQU-01 on the "START HERE" tab, this question does not apply to this product or service. </v>
      </c>
      <c r="F169" s="209" t="str">
        <f aca="false">VLOOKUP($A169,'Institution Evaluation'!$A$56:$K$346,6,0)&amp;""</f>
        <v/>
      </c>
      <c r="G169" s="197" t="str">
        <f aca="false">VLOOKUP($A169,'Institution Evaluation'!$A$56:$K$346,7,0)&amp;""</f>
        <v>Yes</v>
      </c>
      <c r="H169" s="198" t="str">
        <f aca="false">VLOOKUP($A169,'Institution Evaluation'!$A$56:$K$346,8,0)&amp;""</f>
        <v/>
      </c>
      <c r="I169" s="199" t="str">
        <f aca="false">VLOOKUP($A169,'Institution Evaluation'!$A$56:$K$346,9,0)&amp;""</f>
        <v>Minor Importance</v>
      </c>
      <c r="J169" s="251" t="str">
        <f aca="false">VLOOKUP($A169,'Institution Evaluation'!$A$56:$K$346,10,0)&amp;""</f>
        <v/>
      </c>
      <c r="K169" s="200" t="str">
        <f aca="false">IF(VLOOKUP($A169,'Institution Evaluation'!$A$56:$K$346,10,0)=TRUE(),"Yes","")</f>
        <v/>
      </c>
    </row>
    <row r="170" customFormat="false" ht="17.9" hidden="false" customHeight="false" outlineLevel="0" collapsed="false">
      <c r="A170" s="31" t="str">
        <f aca="false">VLOOKUP(LEFT($A171,4),'Auto Responses'!$N$4:$O$38,2,0)&amp;""</f>
        <v> Change Management</v>
      </c>
      <c r="B170" s="42"/>
      <c r="C170" s="43"/>
      <c r="D170" s="43"/>
      <c r="E170" s="204"/>
      <c r="F170" s="192" t="s">
        <v>454</v>
      </c>
      <c r="G170" s="201" t="s">
        <v>449</v>
      </c>
      <c r="H170" s="201" t="s">
        <v>450</v>
      </c>
      <c r="I170" s="201" t="s">
        <v>451</v>
      </c>
      <c r="J170" s="201" t="s">
        <v>452</v>
      </c>
      <c r="K170" s="43"/>
      <c r="L170" s="1"/>
      <c r="M170" s="1"/>
      <c r="N170" s="1"/>
    </row>
    <row r="171" customFormat="false" ht="46.25" hidden="false" customHeight="false" outlineLevel="0" collapsed="false">
      <c r="A171" s="35" t="s">
        <v>71</v>
      </c>
      <c r="B171" s="45" t="str">
        <f aca="false">VLOOKUP($A171,Questions!$A$2:$X$333,2,0)</f>
        <v>Will the institution be notified of major changes to your environment that could impact the institution's security posture?*</v>
      </c>
      <c r="C171" s="199" t="str">
        <f aca="false">VLOOKUP($A171,'Institution Evaluation'!$A$56:$K$346,3,0)&amp;""</f>
        <v>No</v>
      </c>
      <c r="D171" s="199" t="str">
        <f aca="false">VLOOKUP($A171,'Institution Evaluation'!$A$56:$K$346,4,0)&amp;""</f>
        <v>NA</v>
      </c>
      <c r="E171" s="206" t="str">
        <f aca="false">VLOOKUP($A171,'Institution Evaluation'!$A$56:$K$346,5,0)&amp;""</f>
        <v>Describe plans to establish a notification mechanism for major environmental changes.</v>
      </c>
      <c r="F171" s="209" t="str">
        <f aca="false">VLOOKUP($A171,'Institution Evaluation'!$A$56:$K$346,6,0)&amp;""</f>
        <v/>
      </c>
      <c r="G171" s="197" t="str">
        <f aca="false">VLOOKUP($A171,'Institution Evaluation'!$A$56:$K$346,7,0)&amp;""</f>
        <v>Yes</v>
      </c>
      <c r="H171" s="198" t="str">
        <f aca="false">VLOOKUP($A171,'Institution Evaluation'!$A$56:$K$346,8,0)&amp;""</f>
        <v/>
      </c>
      <c r="I171" s="199" t="str">
        <f aca="false">VLOOKUP($A171,'Institution Evaluation'!$A$56:$K$346,9,0)&amp;""</f>
        <v>Critical Importance</v>
      </c>
      <c r="J171" s="251" t="str">
        <f aca="false">VLOOKUP($A171,'Institution Evaluation'!$A$56:$K$346,10,0)&amp;""</f>
        <v/>
      </c>
      <c r="K171" s="200" t="str">
        <f aca="false">IF(VLOOKUP($A171,'Institution Evaluation'!$A$56:$K$346,10,0)=TRUE(),"Yes","")</f>
        <v/>
      </c>
    </row>
    <row r="172" customFormat="false" ht="99.95" hidden="false" customHeight="false" outlineLevel="0" collapsed="false">
      <c r="A172" s="35" t="s">
        <v>72</v>
      </c>
      <c r="B172" s="45" t="str">
        <f aca="false">VLOOKUP($A172,Questions!$A$2:$X$333,2,0)</f>
        <v>Does the system support client customizations from one release to another?*</v>
      </c>
      <c r="C172" s="199" t="str">
        <f aca="false">VLOOKUP($A172,'Institution Evaluation'!$A$56:$K$346,3,0)&amp;""</f>
        <v>yes</v>
      </c>
      <c r="D172" s="199" t="str">
        <f aca="false">VLOOKUP($A172,'Institution Evaluation'!$A$56:$K$346,4,0)&amp;""</f>
        <v>We follow a strict rule for deprecations and API breaks. </v>
      </c>
      <c r="E172" s="206" t="str">
        <f aca="false">VLOOKUP($A172,'Institution Evaluation'!$A$56:$K$346,5,0)&amp;""</f>
        <v>Describe or provide reference to your solution support strategy in regard to maintaining client customizations from one release to another.</v>
      </c>
      <c r="F172" s="209" t="str">
        <f aca="false">VLOOKUP($A172,'Institution Evaluation'!$A$56:$K$346,6,0)&amp;""</f>
        <v/>
      </c>
      <c r="G172" s="197" t="str">
        <f aca="false">VLOOKUP($A172,'Institution Evaluation'!$A$56:$K$346,7,0)&amp;""</f>
        <v>Yes</v>
      </c>
      <c r="H172" s="198" t="str">
        <f aca="false">VLOOKUP($A172,'Institution Evaluation'!$A$56:$K$346,8,0)&amp;""</f>
        <v/>
      </c>
      <c r="I172" s="199" t="str">
        <f aca="false">VLOOKUP($A172,'Institution Evaluation'!$A$56:$K$346,9,0)&amp;""</f>
        <v>Critical Importance</v>
      </c>
      <c r="J172" s="251" t="str">
        <f aca="false">VLOOKUP($A172,'Institution Evaluation'!$A$56:$K$346,10,0)&amp;""</f>
        <v/>
      </c>
      <c r="K172" s="200" t="str">
        <f aca="false">IF(VLOOKUP($A172,'Institution Evaluation'!$A$56:$K$346,10,0)=TRUE(),"Yes","")</f>
        <v/>
      </c>
    </row>
    <row r="173" customFormat="false" ht="17.9" hidden="false" customHeight="false" outlineLevel="0" collapsed="false">
      <c r="A173" s="31" t="str">
        <f aca="false">VLOOKUP(LEFT($A174,4),'Auto Responses'!$N$4:$O$38,2,0)&amp;""</f>
        <v> Data</v>
      </c>
      <c r="B173" s="42"/>
      <c r="C173" s="43"/>
      <c r="D173" s="43"/>
      <c r="E173" s="204"/>
      <c r="F173" s="192" t="s">
        <v>454</v>
      </c>
      <c r="G173" s="201" t="s">
        <v>449</v>
      </c>
      <c r="H173" s="201" t="s">
        <v>450</v>
      </c>
      <c r="I173" s="201" t="s">
        <v>451</v>
      </c>
      <c r="J173" s="201" t="s">
        <v>452</v>
      </c>
      <c r="K173" s="43"/>
      <c r="L173" s="1"/>
      <c r="M173" s="1"/>
      <c r="N173" s="1"/>
    </row>
    <row r="174" customFormat="false" ht="46.25" hidden="false" customHeight="false" outlineLevel="0" collapsed="false">
      <c r="A174" s="35" t="s">
        <v>136</v>
      </c>
      <c r="B174" s="45" t="str">
        <f aca="false">VLOOKUP($A174,Questions!$A$2:$X$333,2,0)</f>
        <v>Is the storage of sensitive data encrypted using security protocols/algorithms (e.g., disk encryption, at-rest, files, and within a running database)?*</v>
      </c>
      <c r="C174" s="199" t="str">
        <f aca="false">VLOOKUP($A174,'Institution Evaluation'!$A$56:$K$346,3,0)&amp;""</f>
        <v/>
      </c>
      <c r="D174" s="199" t="str">
        <f aca="false">VLOOKUP($A174,'Institution Evaluation'!$A$56:$K$346,4,0)&amp;""</f>
        <v>This question does not apply.</v>
      </c>
      <c r="E174" s="206" t="str">
        <f aca="false">VLOOKUP($A174,'Institution Evaluation'!$A$56:$K$346,5,0)&amp;""</f>
        <v>Based on the response to REQU-01 on the "START HERE" tab, this question does not apply to this product or service. </v>
      </c>
      <c r="F174" s="209" t="str">
        <f aca="false">VLOOKUP($A174,'Institution Evaluation'!$A$56:$K$346,6,0)&amp;""</f>
        <v/>
      </c>
      <c r="G174" s="197" t="str">
        <f aca="false">VLOOKUP($A174,'Institution Evaluation'!$A$56:$K$346,7,0)&amp;""</f>
        <v>Yes</v>
      </c>
      <c r="H174" s="198" t="str">
        <f aca="false">VLOOKUP($A174,'Institution Evaluation'!$A$56:$K$346,8,0)&amp;""</f>
        <v/>
      </c>
      <c r="I174" s="199" t="str">
        <f aca="false">VLOOKUP($A174,'Institution Evaluation'!$A$56:$K$346,9,0)&amp;""</f>
        <v>Critical Importance</v>
      </c>
      <c r="J174" s="251" t="str">
        <f aca="false">VLOOKUP($A174,'Institution Evaluation'!$A$56:$K$346,10,0)&amp;""</f>
        <v/>
      </c>
      <c r="K174" s="200" t="str">
        <f aca="false">IF(VLOOKUP($A174,'Institution Evaluation'!$A$56:$K$346,10,0)=TRUE(),"Yes","")</f>
        <v/>
      </c>
    </row>
    <row r="175" customFormat="false" ht="46.25" hidden="false" customHeight="false" outlineLevel="0" collapsed="false">
      <c r="A175" s="35" t="s">
        <v>137</v>
      </c>
      <c r="B175" s="45" t="str">
        <f aca="false">VLOOKUP($A175,Questions!$A$2:$X$333,2,0)</f>
        <v>Do all cryptographic modules in use in your solution conform to the Federal Information Processing Standards (FIPS PUB 140-2 or 140-3)?*</v>
      </c>
      <c r="C175" s="199" t="str">
        <f aca="false">VLOOKUP($A175,'Institution Evaluation'!$A$56:$K$346,3,0)&amp;""</f>
        <v/>
      </c>
      <c r="D175" s="199" t="str">
        <f aca="false">VLOOKUP($A175,'Institution Evaluation'!$A$56:$K$346,4,0)&amp;""</f>
        <v>This question does not apply.</v>
      </c>
      <c r="E175" s="206" t="str">
        <f aca="false">VLOOKUP($A175,'Institution Evaluation'!$A$56:$K$346,5,0)&amp;""</f>
        <v>Based on the response to REQU-01 on the "START HERE" tab, this question does not apply to this product or service. </v>
      </c>
      <c r="F175" s="209" t="str">
        <f aca="false">VLOOKUP($A175,'Institution Evaluation'!$A$56:$K$346,6,0)&amp;""</f>
        <v/>
      </c>
      <c r="G175" s="197" t="str">
        <f aca="false">VLOOKUP($A175,'Institution Evaluation'!$A$56:$K$346,7,0)&amp;""</f>
        <v>Yes</v>
      </c>
      <c r="H175" s="198" t="str">
        <f aca="false">VLOOKUP($A175,'Institution Evaluation'!$A$56:$K$346,8,0)&amp;""</f>
        <v/>
      </c>
      <c r="I175" s="199" t="str">
        <f aca="false">VLOOKUP($A175,'Institution Evaluation'!$A$56:$K$346,9,0)&amp;""</f>
        <v>Critical Importance</v>
      </c>
      <c r="J175" s="251" t="str">
        <f aca="false">VLOOKUP($A175,'Institution Evaluation'!$A$56:$K$346,10,0)&amp;""</f>
        <v/>
      </c>
      <c r="K175" s="200" t="str">
        <f aca="false">IF(VLOOKUP($A175,'Institution Evaluation'!$A$56:$K$346,10,0)=TRUE(),"Yes","")</f>
        <v/>
      </c>
    </row>
    <row r="176" customFormat="false" ht="46.25" hidden="false" customHeight="false" outlineLevel="0" collapsed="false">
      <c r="A176" s="35" t="s">
        <v>139</v>
      </c>
      <c r="B176" s="45" t="str">
        <f aca="false">VLOOKUP($A176,Questions!$A$2:$X$333,2,0)</f>
        <v>Are ownership rights to all data, inputs, outputs, and metadata retained even through a provider acquisition or bankruptcy event?*</v>
      </c>
      <c r="C176" s="199" t="str">
        <f aca="false">VLOOKUP($A176,'Institution Evaluation'!$A$56:$K$346,3,0)&amp;""</f>
        <v/>
      </c>
      <c r="D176" s="199" t="str">
        <f aca="false">VLOOKUP($A176,'Institution Evaluation'!$A$56:$K$346,4,0)&amp;""</f>
        <v>This question does not apply.</v>
      </c>
      <c r="E176" s="206" t="str">
        <f aca="false">VLOOKUP($A176,'Institution Evaluation'!$A$56:$K$346,5,0)&amp;""</f>
        <v>Based on the response to REQU-01 on the "START HERE" tab, this question does not apply to this product or service. </v>
      </c>
      <c r="F176" s="209" t="str">
        <f aca="false">VLOOKUP($A176,'Institution Evaluation'!$A$56:$K$346,6,0)&amp;""</f>
        <v/>
      </c>
      <c r="G176" s="197" t="str">
        <f aca="false">VLOOKUP($A176,'Institution Evaluation'!$A$56:$K$346,7,0)&amp;""</f>
        <v>Yes</v>
      </c>
      <c r="H176" s="198" t="str">
        <f aca="false">VLOOKUP($A176,'Institution Evaluation'!$A$56:$K$346,8,0)&amp;""</f>
        <v/>
      </c>
      <c r="I176" s="199" t="str">
        <f aca="false">VLOOKUP($A176,'Institution Evaluation'!$A$56:$K$346,9,0)&amp;""</f>
        <v>Critical Importance</v>
      </c>
      <c r="J176" s="251" t="str">
        <f aca="false">VLOOKUP($A176,'Institution Evaluation'!$A$56:$K$346,10,0)&amp;""</f>
        <v/>
      </c>
      <c r="K176" s="200" t="str">
        <f aca="false">IF(VLOOKUP($A176,'Institution Evaluation'!$A$56:$K$346,10,0)=TRUE(),"Yes","")</f>
        <v/>
      </c>
    </row>
    <row r="177" customFormat="false" ht="46.25" hidden="false" customHeight="false" outlineLevel="0" collapsed="false">
      <c r="A177" s="35" t="s">
        <v>140</v>
      </c>
      <c r="B177" s="45" t="str">
        <f aca="false">VLOOKUP($A177,Questions!$A$2:$X$333,2,0)</f>
        <v>Do backups containing the institution's data ever leave the institution's data zone either physically or via network routing?*</v>
      </c>
      <c r="C177" s="199" t="str">
        <f aca="false">VLOOKUP($A177,'Institution Evaluation'!$A$56:$K$346,3,0)&amp;""</f>
        <v/>
      </c>
      <c r="D177" s="199" t="str">
        <f aca="false">VLOOKUP($A177,'Institution Evaluation'!$A$56:$K$346,4,0)&amp;""</f>
        <v>This question does not apply.</v>
      </c>
      <c r="E177" s="206" t="str">
        <f aca="false">VLOOKUP($A177,'Institution Evaluation'!$A$56:$K$346,5,0)&amp;""</f>
        <v>Based on the response to REQU-01 on the "START HERE" tab, this question does not apply to this product or service. </v>
      </c>
      <c r="F177" s="209" t="str">
        <f aca="false">VLOOKUP($A177,'Institution Evaluation'!$A$56:$K$346,6,0)&amp;""</f>
        <v/>
      </c>
      <c r="G177" s="197" t="str">
        <f aca="false">VLOOKUP($A177,'Institution Evaluation'!$A$56:$K$346,7,0)&amp;""</f>
        <v>No</v>
      </c>
      <c r="H177" s="198" t="str">
        <f aca="false">VLOOKUP($A177,'Institution Evaluation'!$A$56:$K$346,8,0)&amp;""</f>
        <v/>
      </c>
      <c r="I177" s="199" t="str">
        <f aca="false">VLOOKUP($A177,'Institution Evaluation'!$A$56:$K$346,9,0)&amp;""</f>
        <v>Critical Importance</v>
      </c>
      <c r="J177" s="251" t="str">
        <f aca="false">VLOOKUP($A177,'Institution Evaluation'!$A$56:$K$346,10,0)&amp;""</f>
        <v/>
      </c>
      <c r="K177" s="200" t="str">
        <f aca="false">IF(VLOOKUP($A177,'Institution Evaluation'!$A$56:$K$346,10,0)=TRUE(),"Yes","")</f>
        <v/>
      </c>
    </row>
    <row r="178" customFormat="false" ht="46.25" hidden="false" customHeight="false" outlineLevel="0" collapsed="false">
      <c r="A178" s="35" t="s">
        <v>141</v>
      </c>
      <c r="B178" s="45" t="str">
        <f aca="false">VLOOKUP($A178,Questions!$A$2:$X$333,2,0)</f>
        <v>Is media used for long-term retention of business data and archival purposes stored in a secure, environmentally protected area?*</v>
      </c>
      <c r="C178" s="199" t="str">
        <f aca="false">VLOOKUP($A178,'Institution Evaluation'!$A$56:$K$346,3,0)&amp;""</f>
        <v/>
      </c>
      <c r="D178" s="199" t="str">
        <f aca="false">VLOOKUP($A178,'Institution Evaluation'!$A$56:$K$346,4,0)&amp;""</f>
        <v>This question does not apply.</v>
      </c>
      <c r="E178" s="206" t="str">
        <f aca="false">VLOOKUP($A178,'Institution Evaluation'!$A$56:$K$346,5,0)&amp;""</f>
        <v>Based on the response to REQU-01 on the "START HERE" tab, this question does not apply to this product or service. </v>
      </c>
      <c r="F178" s="209" t="str">
        <f aca="false">VLOOKUP($A178,'Institution Evaluation'!$A$56:$K$346,6,0)&amp;""</f>
        <v/>
      </c>
      <c r="G178" s="197" t="str">
        <f aca="false">VLOOKUP($A178,'Institution Evaluation'!$A$56:$K$346,7,0)&amp;""</f>
        <v>Yes</v>
      </c>
      <c r="H178" s="198" t="str">
        <f aca="false">VLOOKUP($A178,'Institution Evaluation'!$A$56:$K$346,8,0)&amp;""</f>
        <v/>
      </c>
      <c r="I178" s="199" t="str">
        <f aca="false">VLOOKUP($A178,'Institution Evaluation'!$A$56:$K$346,9,0)&amp;""</f>
        <v>Critical Importance</v>
      </c>
      <c r="J178" s="251" t="str">
        <f aca="false">VLOOKUP($A178,'Institution Evaluation'!$A$56:$K$346,10,0)&amp;""</f>
        <v/>
      </c>
      <c r="K178" s="200" t="str">
        <f aca="false">IF(VLOOKUP($A178,'Institution Evaluation'!$A$56:$K$346,10,0)=TRUE(),"Yes","")</f>
        <v/>
      </c>
    </row>
    <row r="179" customFormat="false" ht="50.7" hidden="false" customHeight="false" outlineLevel="0" collapsed="false">
      <c r="A179" s="35" t="s">
        <v>142</v>
      </c>
      <c r="B179" s="45" t="str">
        <f aca="false">VLOOKUP($A179,Questions!$A$2:$X$333,2,0)</f>
        <v>At the completion of this contract, will data be returned to the institution and/or deleted from all your systems and archives?</v>
      </c>
      <c r="C179" s="199" t="str">
        <f aca="false">VLOOKUP($A179,'Institution Evaluation'!$A$56:$K$346,3,0)&amp;""</f>
        <v/>
      </c>
      <c r="D179" s="199" t="str">
        <f aca="false">VLOOKUP($A179,'Institution Evaluation'!$A$56:$K$346,4,0)&amp;""</f>
        <v>This question does not apply.</v>
      </c>
      <c r="E179" s="206" t="str">
        <f aca="false">VLOOKUP($A179,'Institution Evaluation'!$A$56:$K$346,5,0)&amp;""</f>
        <v>Based on the response to REQU-01 on the "START HERE" tab, this question does not apply to this product or service. </v>
      </c>
      <c r="F179" s="209" t="str">
        <f aca="false">VLOOKUP($A179,'Institution Evaluation'!$A$56:$K$346,6,0)&amp;""</f>
        <v/>
      </c>
      <c r="G179" s="197" t="str">
        <f aca="false">VLOOKUP($A179,'Institution Evaluation'!$A$56:$K$346,7,0)&amp;""</f>
        <v>Yes</v>
      </c>
      <c r="H179" s="198" t="str">
        <f aca="false">VLOOKUP($A179,'Institution Evaluation'!$A$56:$K$346,8,0)&amp;""</f>
        <v/>
      </c>
      <c r="I179" s="199" t="str">
        <f aca="false">VLOOKUP($A179,'Institution Evaluation'!$A$56:$K$346,9,0)&amp;""</f>
        <v>Standard Importance</v>
      </c>
      <c r="J179" s="251" t="str">
        <f aca="false">VLOOKUP($A179,'Institution Evaluation'!$A$56:$K$346,10,0)&amp;""</f>
        <v/>
      </c>
      <c r="K179" s="200" t="str">
        <f aca="false">IF(VLOOKUP($A179,'Institution Evaluation'!$A$56:$K$346,10,0)=TRUE(),"Yes","")</f>
        <v/>
      </c>
    </row>
    <row r="180" customFormat="false" ht="31.3" hidden="false" customHeight="false" outlineLevel="0" collapsed="false">
      <c r="A180" s="35" t="s">
        <v>143</v>
      </c>
      <c r="B180" s="45" t="str">
        <f aca="false">VLOOKUP($A180,Questions!$A$2:$X$333,2,0)</f>
        <v>Can the institution extract a full or partial backup of data?</v>
      </c>
      <c r="C180" s="199" t="str">
        <f aca="false">VLOOKUP($A180,'Institution Evaluation'!$A$56:$K$346,3,0)&amp;""</f>
        <v/>
      </c>
      <c r="D180" s="199" t="str">
        <f aca="false">VLOOKUP($A180,'Institution Evaluation'!$A$56:$K$346,4,0)&amp;""</f>
        <v>This question does not apply.</v>
      </c>
      <c r="E180" s="206" t="str">
        <f aca="false">VLOOKUP($A180,'Institution Evaluation'!$A$56:$K$346,5,0)&amp;""</f>
        <v>Based on the response to REQU-01 on the "START HERE" tab, this question does not apply to this product or service. </v>
      </c>
      <c r="F180" s="209" t="str">
        <f aca="false">VLOOKUP($A180,'Institution Evaluation'!$A$56:$K$346,6,0)&amp;""</f>
        <v/>
      </c>
      <c r="G180" s="197" t="str">
        <f aca="false">VLOOKUP($A180,'Institution Evaluation'!$A$56:$K$346,7,0)&amp;""</f>
        <v>Yes</v>
      </c>
      <c r="H180" s="198" t="str">
        <f aca="false">VLOOKUP($A180,'Institution Evaluation'!$A$56:$K$346,8,0)&amp;""</f>
        <v/>
      </c>
      <c r="I180" s="199" t="str">
        <f aca="false">VLOOKUP($A180,'Institution Evaluation'!$A$56:$K$346,9,0)&amp;""</f>
        <v>Standard Importance</v>
      </c>
      <c r="J180" s="251" t="str">
        <f aca="false">VLOOKUP($A180,'Institution Evaluation'!$A$56:$K$346,10,0)&amp;""</f>
        <v/>
      </c>
      <c r="K180" s="200" t="str">
        <f aca="false">IF(VLOOKUP($A180,'Institution Evaluation'!$A$56:$K$346,10,0)=TRUE(),"Yes","")</f>
        <v/>
      </c>
    </row>
    <row r="181" customFormat="false" ht="46.25" hidden="false" customHeight="false" outlineLevel="0" collapsed="false">
      <c r="A181" s="35" t="s">
        <v>144</v>
      </c>
      <c r="B181" s="45" t="str">
        <f aca="false">VLOOKUP($A181,Questions!$A$2:$X$333,2,0)</f>
        <v>Do current backups include all operating system software, utilities, security software, application software, and data files necessary for recovery?</v>
      </c>
      <c r="C181" s="199" t="str">
        <f aca="false">VLOOKUP($A181,'Institution Evaluation'!$A$56:$K$346,3,0)&amp;""</f>
        <v/>
      </c>
      <c r="D181" s="199" t="str">
        <f aca="false">VLOOKUP($A181,'Institution Evaluation'!$A$56:$K$346,4,0)&amp;""</f>
        <v>This question does not apply.</v>
      </c>
      <c r="E181" s="206" t="str">
        <f aca="false">VLOOKUP($A181,'Institution Evaluation'!$A$56:$K$346,5,0)&amp;""</f>
        <v>Based on the response to REQU-01 on the "START HERE" tab, this question does not apply to this product or service. </v>
      </c>
      <c r="F181" s="209" t="str">
        <f aca="false">VLOOKUP($A181,'Institution Evaluation'!$A$56:$K$346,6,0)&amp;""</f>
        <v/>
      </c>
      <c r="G181" s="197" t="str">
        <f aca="false">VLOOKUP($A181,'Institution Evaluation'!$A$56:$K$346,7,0)&amp;""</f>
        <v>Yes</v>
      </c>
      <c r="H181" s="198" t="str">
        <f aca="false">VLOOKUP($A181,'Institution Evaluation'!$A$56:$K$346,8,0)&amp;""</f>
        <v/>
      </c>
      <c r="I181" s="199" t="str">
        <f aca="false">VLOOKUP($A181,'Institution Evaluation'!$A$56:$K$346,9,0)&amp;""</f>
        <v>Standard Importance</v>
      </c>
      <c r="J181" s="251" t="str">
        <f aca="false">VLOOKUP($A181,'Institution Evaluation'!$A$56:$K$346,10,0)&amp;""</f>
        <v/>
      </c>
      <c r="K181" s="200" t="str">
        <f aca="false">IF(VLOOKUP($A181,'Institution Evaluation'!$A$56:$K$346,10,0)=TRUE(),"Yes","")</f>
        <v/>
      </c>
    </row>
    <row r="182" s="1" customFormat="true" ht="31.3" hidden="false" customHeight="false" outlineLevel="0" collapsed="false">
      <c r="A182" s="35" t="s">
        <v>145</v>
      </c>
      <c r="B182" s="45" t="str">
        <f aca="false">VLOOKUP($A182,Questions!$A$2:$X$333,2,0)</f>
        <v>Are you performing off-site backups (i.e., digitally moved off site)?</v>
      </c>
      <c r="C182" s="199" t="str">
        <f aca="false">VLOOKUP($A182,'Institution Evaluation'!$A$56:$K$346,3,0)&amp;""</f>
        <v/>
      </c>
      <c r="D182" s="199" t="str">
        <f aca="false">VLOOKUP($A182,'Institution Evaluation'!$A$56:$K$346,4,0)&amp;""</f>
        <v>This question does not apply.</v>
      </c>
      <c r="E182" s="206" t="str">
        <f aca="false">VLOOKUP($A182,'Institution Evaluation'!$A$56:$K$346,5,0)&amp;""</f>
        <v>Based on the response to REQU-01 on the "START HERE" tab, this question does not apply to this product or service. </v>
      </c>
      <c r="F182" s="209" t="str">
        <f aca="false">VLOOKUP($A182,'Institution Evaluation'!$A$56:$K$346,6,0)&amp;""</f>
        <v/>
      </c>
      <c r="G182" s="197" t="str">
        <f aca="false">VLOOKUP($A182,'Institution Evaluation'!$A$56:$K$346,7,0)&amp;""</f>
        <v>Yes</v>
      </c>
      <c r="H182" s="198" t="str">
        <f aca="false">VLOOKUP($A182,'Institution Evaluation'!$A$56:$K$346,8,0)&amp;""</f>
        <v/>
      </c>
      <c r="I182" s="199" t="str">
        <f aca="false">VLOOKUP($A182,'Institution Evaluation'!$A$56:$K$346,9,0)&amp;""</f>
        <v>Standard Importance</v>
      </c>
      <c r="J182" s="251" t="str">
        <f aca="false">VLOOKUP($A182,'Institution Evaluation'!$A$56:$K$346,10,0)&amp;""</f>
        <v/>
      </c>
      <c r="K182" s="200" t="str">
        <f aca="false">IF(VLOOKUP($A182,'Institution Evaluation'!$A$56:$K$346,10,0)=TRUE(),"Yes","")</f>
        <v/>
      </c>
      <c r="L182" s="101"/>
      <c r="M182" s="101"/>
      <c r="N182" s="101"/>
    </row>
    <row r="183" customFormat="false" ht="31.3" hidden="false" customHeight="false" outlineLevel="0" collapsed="false">
      <c r="A183" s="35" t="s">
        <v>146</v>
      </c>
      <c r="B183" s="45" t="str">
        <f aca="false">VLOOKUP($A183,Questions!$A$2:$X$333,2,0)</f>
        <v>Are physical backups taken off-site (i.e., physically moved off site)?</v>
      </c>
      <c r="C183" s="199" t="str">
        <f aca="false">VLOOKUP($A183,'Institution Evaluation'!$A$56:$K$346,3,0)&amp;""</f>
        <v/>
      </c>
      <c r="D183" s="199" t="str">
        <f aca="false">VLOOKUP($A183,'Institution Evaluation'!$A$56:$K$346,4,0)&amp;""</f>
        <v>This question does not apply.</v>
      </c>
      <c r="E183" s="206" t="str">
        <f aca="false">VLOOKUP($A183,'Institution Evaluation'!$A$56:$K$346,5,0)&amp;""</f>
        <v>Based on the response to REQU-01 on the "START HERE" tab, this question does not apply to this product or service. </v>
      </c>
      <c r="F183" s="209" t="str">
        <f aca="false">VLOOKUP($A183,'Institution Evaluation'!$A$56:$K$346,6,0)&amp;""</f>
        <v/>
      </c>
      <c r="G183" s="197" t="str">
        <f aca="false">VLOOKUP($A183,'Institution Evaluation'!$A$56:$K$346,7,0)&amp;""</f>
        <v>Yes</v>
      </c>
      <c r="H183" s="198" t="str">
        <f aca="false">VLOOKUP($A183,'Institution Evaluation'!$A$56:$K$346,8,0)&amp;""</f>
        <v/>
      </c>
      <c r="I183" s="199" t="str">
        <f aca="false">VLOOKUP($A183,'Institution Evaluation'!$A$56:$K$346,9,0)&amp;""</f>
        <v>Standard Importance</v>
      </c>
      <c r="J183" s="251" t="str">
        <f aca="false">VLOOKUP($A183,'Institution Evaluation'!$A$56:$K$346,10,0)&amp;""</f>
        <v/>
      </c>
      <c r="K183" s="200" t="str">
        <f aca="false">IF(VLOOKUP($A183,'Institution Evaluation'!$A$56:$K$346,10,0)=TRUE(),"Yes","")</f>
        <v/>
      </c>
    </row>
    <row r="184" customFormat="false" ht="17.9" hidden="false" customHeight="false" outlineLevel="0" collapsed="false">
      <c r="A184" s="35" t="s">
        <v>147</v>
      </c>
      <c r="B184" s="45" t="str">
        <f aca="false">VLOOKUP($A184,Questions!$A$2:$X$333,2,0)</f>
        <v>Are data backups encrypted?</v>
      </c>
      <c r="C184" s="199" t="str">
        <f aca="false">VLOOKUP($A184,'Institution Evaluation'!$A$56:$K$346,3,0)&amp;""</f>
        <v/>
      </c>
      <c r="D184" s="199" t="str">
        <f aca="false">VLOOKUP($A184,'Institution Evaluation'!$A$56:$K$346,4,0)&amp;""</f>
        <v>This question does not apply.</v>
      </c>
      <c r="E184" s="206" t="str">
        <f aca="false">VLOOKUP($A184,'Institution Evaluation'!$A$56:$K$346,5,0)&amp;""</f>
        <v>Based on the response to REQU-01 on the "START HERE" tab, this question does not apply to this product or service. </v>
      </c>
      <c r="F184" s="209" t="str">
        <f aca="false">VLOOKUP($A184,'Institution Evaluation'!$A$56:$K$346,6,0)&amp;""</f>
        <v/>
      </c>
      <c r="G184" s="197" t="str">
        <f aca="false">VLOOKUP($A184,'Institution Evaluation'!$A$56:$K$346,7,0)&amp;""</f>
        <v>Yes</v>
      </c>
      <c r="H184" s="198" t="str">
        <f aca="false">VLOOKUP($A184,'Institution Evaluation'!$A$56:$K$346,8,0)&amp;""</f>
        <v/>
      </c>
      <c r="I184" s="199" t="str">
        <f aca="false">VLOOKUP($A184,'Institution Evaluation'!$A$56:$K$346,9,0)&amp;""</f>
        <v>Minor Importance</v>
      </c>
      <c r="J184" s="251" t="str">
        <f aca="false">VLOOKUP($A184,'Institution Evaluation'!$A$56:$K$346,10,0)&amp;""</f>
        <v/>
      </c>
      <c r="K184" s="200" t="str">
        <f aca="false">IF(VLOOKUP($A184,'Institution Evaluation'!$A$56:$K$346,10,0)=TRUE(),"Yes","")</f>
        <v/>
      </c>
    </row>
    <row r="185" s="1" customFormat="true" ht="76.1" hidden="false" customHeight="false" outlineLevel="0" collapsed="false">
      <c r="A185" s="35" t="s">
        <v>148</v>
      </c>
      <c r="B185" s="45" t="str">
        <f aca="false">VLOOKUP($A185,Questions!$A$2:$X$333,2,0)</f>
        <v>Do you have a media handling process that is documented and currently implemented that meets established business needs and regulatory requirements, including end-of-life, repurposing, and data-sanitization procedures?</v>
      </c>
      <c r="C185" s="199" t="str">
        <f aca="false">VLOOKUP($A185,'Institution Evaluation'!$A$56:$K$346,3,0)&amp;""</f>
        <v/>
      </c>
      <c r="D185" s="199" t="str">
        <f aca="false">VLOOKUP($A185,'Institution Evaluation'!$A$56:$K$346,4,0)&amp;""</f>
        <v>This question does not apply.</v>
      </c>
      <c r="E185" s="206" t="str">
        <f aca="false">VLOOKUP($A185,'Institution Evaluation'!$A$56:$K$346,5,0)&amp;""</f>
        <v>Based on the response to REQU-01 on the "START HERE" tab, this question does not apply to this product or service. </v>
      </c>
      <c r="F185" s="209" t="str">
        <f aca="false">VLOOKUP($A185,'Institution Evaluation'!$A$56:$K$346,6,0)&amp;""</f>
        <v/>
      </c>
      <c r="G185" s="197" t="str">
        <f aca="false">VLOOKUP($A185,'Institution Evaluation'!$A$56:$K$346,7,0)&amp;""</f>
        <v>Yes</v>
      </c>
      <c r="H185" s="198" t="str">
        <f aca="false">VLOOKUP($A185,'Institution Evaluation'!$A$56:$K$346,8,0)&amp;""</f>
        <v/>
      </c>
      <c r="I185" s="199" t="str">
        <f aca="false">VLOOKUP($A185,'Institution Evaluation'!$A$56:$K$346,9,0)&amp;""</f>
        <v>Standard Importance</v>
      </c>
      <c r="J185" s="251" t="str">
        <f aca="false">VLOOKUP($A185,'Institution Evaluation'!$A$56:$K$346,10,0)&amp;""</f>
        <v/>
      </c>
      <c r="K185" s="200" t="str">
        <f aca="false">IF(VLOOKUP($A185,'Institution Evaluation'!$A$56:$K$346,10,0)=TRUE(),"Yes","")</f>
        <v/>
      </c>
      <c r="L185" s="101"/>
      <c r="M185" s="101"/>
      <c r="N185" s="101"/>
    </row>
    <row r="186" customFormat="false" ht="46.25" hidden="false" customHeight="false" outlineLevel="0" collapsed="false">
      <c r="A186" s="35" t="s">
        <v>150</v>
      </c>
      <c r="B186" s="45" t="str">
        <f aca="false">VLOOKUP($A186,Questions!$A$2:$X$333,2,0)</f>
        <v>Does your staff (or third party) have access to institutional data (e.g., financial, PHI, or other sensitive information) through any means?</v>
      </c>
      <c r="C186" s="199" t="str">
        <f aca="false">VLOOKUP($A186,'Institution Evaluation'!$A$56:$K$346,3,0)&amp;""</f>
        <v/>
      </c>
      <c r="D186" s="199" t="str">
        <f aca="false">VLOOKUP($A186,'Institution Evaluation'!$A$56:$K$346,4,0)&amp;""</f>
        <v>This question does not apply.</v>
      </c>
      <c r="E186" s="206" t="str">
        <f aca="false">VLOOKUP($A186,'Institution Evaluation'!$A$56:$K$346,5,0)&amp;""</f>
        <v>Based on the response to REQU-01 on the "START HERE" tab, this question does not apply to this product or service. </v>
      </c>
      <c r="F186" s="209" t="str">
        <f aca="false">VLOOKUP($A186,'Institution Evaluation'!$A$56:$K$346,6,0)&amp;""</f>
        <v/>
      </c>
      <c r="G186" s="197" t="str">
        <f aca="false">VLOOKUP($A186,'Institution Evaluation'!$A$56:$K$346,7,0)&amp;""</f>
        <v>No</v>
      </c>
      <c r="H186" s="198" t="str">
        <f aca="false">VLOOKUP($A186,'Institution Evaluation'!$A$56:$K$346,8,0)&amp;""</f>
        <v/>
      </c>
      <c r="I186" s="199" t="str">
        <f aca="false">VLOOKUP($A186,'Institution Evaluation'!$A$56:$K$346,9,0)&amp;""</f>
        <v>Standard Importance</v>
      </c>
      <c r="J186" s="251" t="str">
        <f aca="false">VLOOKUP($A186,'Institution Evaluation'!$A$56:$K$346,10,0)&amp;""</f>
        <v/>
      </c>
      <c r="K186" s="200" t="str">
        <f aca="false">IF(VLOOKUP($A186,'Institution Evaluation'!$A$56:$K$346,10,0)=TRUE(),"Yes","")</f>
        <v/>
      </c>
    </row>
    <row r="187" customFormat="false" ht="67.15" hidden="false" customHeight="false" outlineLevel="0" collapsed="false">
      <c r="A187" s="35" t="s">
        <v>155</v>
      </c>
      <c r="B187" s="45" t="str">
        <f aca="false">VLOOKUP($A187,Questions!$A$2:$X$333,2,0)</f>
        <v>Are involatile backup copies made according to predefined schedules and securely stored and protected?</v>
      </c>
      <c r="C187" s="199" t="str">
        <f aca="false">VLOOKUP($A187,'Institution Evaluation'!$A$56:$K$346,3,0)&amp;""</f>
        <v/>
      </c>
      <c r="D187" s="199" t="str">
        <f aca="false">VLOOKUP($A187,'Institution Evaluation'!$A$56:$K$346,4,0)&amp;""</f>
        <v>This question does not apply.</v>
      </c>
      <c r="E187" s="206" t="str">
        <f aca="false">VLOOKUP($A187,'Institution Evaluation'!$A$56:$K$346,5,0)&amp;""</f>
        <v>Based on the response to REQU-01 on the "START HERE" tab, this question does not apply to this product or service. </v>
      </c>
      <c r="F187" s="209" t="str">
        <f aca="false">VLOOKUP($A187,'Institution Evaluation'!$A$56:$K$346,6,0)&amp;""</f>
        <v/>
      </c>
      <c r="G187" s="197" t="str">
        <f aca="false">VLOOKUP($A187,'Institution Evaluation'!$A$56:$K$346,7,0)&amp;""</f>
        <v>Yes</v>
      </c>
      <c r="H187" s="198" t="str">
        <f aca="false">VLOOKUP($A187,'Institution Evaluation'!$A$56:$K$346,8,0)&amp;""</f>
        <v/>
      </c>
      <c r="I187" s="199" t="str">
        <f aca="false">VLOOKUP($A187,'Institution Evaluation'!$A$56:$K$346,9,0)&amp;""</f>
        <v>Minor Importance</v>
      </c>
      <c r="J187" s="251" t="str">
        <f aca="false">VLOOKUP($A187,'Institution Evaluation'!$A$56:$K$346,10,0)&amp;""</f>
        <v/>
      </c>
      <c r="K187" s="200" t="str">
        <f aca="false">IF(VLOOKUP($A187,'Institution Evaluation'!$A$56:$K$346,10,0)=TRUE(),"Yes","")</f>
        <v/>
      </c>
    </row>
    <row r="188" customFormat="false" ht="91" hidden="false" customHeight="false" outlineLevel="0" collapsed="false">
      <c r="A188" s="35" t="s">
        <v>156</v>
      </c>
      <c r="B188" s="45" t="str">
        <f aca="false">VLOOKUP($A188,Questions!$A$2:$X$333,2,0)</f>
        <v>Do you have a cryptographic key management process (generation, exchange, storage, safeguards, use, vetting, and replacement) that is documented and currently implemented, for all system components (e.g., database, system, web, etc.)?</v>
      </c>
      <c r="C188" s="199" t="str">
        <f aca="false">VLOOKUP($A188,'Institution Evaluation'!$A$56:$K$346,3,0)&amp;""</f>
        <v/>
      </c>
      <c r="D188" s="199" t="str">
        <f aca="false">VLOOKUP($A188,'Institution Evaluation'!$A$56:$K$346,4,0)&amp;""</f>
        <v>This question does not apply.</v>
      </c>
      <c r="E188" s="206" t="str">
        <f aca="false">VLOOKUP($A188,'Institution Evaluation'!$A$56:$K$346,5,0)&amp;""</f>
        <v>Based on the response to REQU-01 on the "START HERE" tab, this question does not apply to this product or service. </v>
      </c>
      <c r="F188" s="209" t="str">
        <f aca="false">VLOOKUP($A188,'Institution Evaluation'!$A$56:$K$346,6,0)&amp;""</f>
        <v/>
      </c>
      <c r="G188" s="197" t="str">
        <f aca="false">VLOOKUP($A188,'Institution Evaluation'!$A$56:$K$346,7,0)&amp;""</f>
        <v>Yes</v>
      </c>
      <c r="H188" s="198" t="str">
        <f aca="false">VLOOKUP($A188,'Institution Evaluation'!$A$56:$K$346,8,0)&amp;""</f>
        <v/>
      </c>
      <c r="I188" s="199" t="str">
        <f aca="false">VLOOKUP($A188,'Institution Evaluation'!$A$56:$K$346,9,0)&amp;""</f>
        <v>Minor Importance</v>
      </c>
      <c r="J188" s="251" t="str">
        <f aca="false">VLOOKUP($A188,'Institution Evaluation'!$A$56:$K$346,10,0)&amp;""</f>
        <v/>
      </c>
      <c r="K188" s="200" t="str">
        <f aca="false">IF(VLOOKUP($A188,'Institution Evaluation'!$A$56:$K$346,10,0)=TRUE(),"Yes","")</f>
        <v/>
      </c>
    </row>
    <row r="189" customFormat="false" ht="17.9" hidden="false" customHeight="false" outlineLevel="0" collapsed="false">
      <c r="A189" s="31" t="str">
        <f aca="false">VLOOKUP(LEFT($A190,4),'Auto Responses'!$N$4:$O$38,2,0)&amp;""</f>
        <v> Datacenter</v>
      </c>
      <c r="B189" s="42"/>
      <c r="C189" s="43"/>
      <c r="D189" s="43"/>
      <c r="E189" s="204"/>
      <c r="F189" s="192" t="s">
        <v>454</v>
      </c>
      <c r="G189" s="201" t="s">
        <v>449</v>
      </c>
      <c r="H189" s="201" t="s">
        <v>450</v>
      </c>
      <c r="I189" s="201" t="s">
        <v>451</v>
      </c>
      <c r="J189" s="201" t="s">
        <v>452</v>
      </c>
      <c r="K189" s="43"/>
      <c r="L189" s="1"/>
      <c r="M189" s="1"/>
      <c r="N189" s="1"/>
    </row>
    <row r="190" customFormat="false" ht="149.25" hidden="false" customHeight="false" outlineLevel="0" collapsed="false">
      <c r="A190" s="35" t="s">
        <v>172</v>
      </c>
      <c r="B190" s="45" t="str">
        <f aca="false">VLOOKUP($A190,Questions!$A$2:$X$333,2,0)</f>
        <v>Select your hosting option.</v>
      </c>
      <c r="C190" s="199" t="str">
        <f aca="false">VLOOKUP($A190,'Institution Evaluation'!$A$56:$K$346,3,0)&amp;""</f>
        <v/>
      </c>
      <c r="D190" s="199" t="str">
        <f aca="false">VLOOKUP($A190,'Institution Evaluation'!$A$56:$K$346,4,0)&amp;""</f>
        <v/>
      </c>
      <c r="E190" s="206" t="str">
        <f aca="false">VLOOKUP($A190,'Institution Evaluation'!$A$56:$K$346,5,0)&amp;""</f>
        <v>If you are using an option not listed, or a combination of options, select "Other." Your selection here will determine which questions below are required.</v>
      </c>
      <c r="F190" s="209" t="str">
        <f aca="false">VLOOKUP($A190,'Institution Evaluation'!$A$56:$K$346,6,0)&amp;""</f>
        <v/>
      </c>
      <c r="G190" s="197" t="str">
        <f aca="false">VLOOKUP($A190,'Institution Evaluation'!$A$56:$K$346,7,0)&amp;""</f>
        <v>Not scored</v>
      </c>
      <c r="H190" s="198" t="str">
        <f aca="false">VLOOKUP($A190,'Institution Evaluation'!$A$56:$K$346,8,0)&amp;""</f>
        <v/>
      </c>
      <c r="I190" s="199" t="str">
        <f aca="false">VLOOKUP($A190,'Institution Evaluation'!$A$56:$K$346,9,0)&amp;""</f>
        <v/>
      </c>
      <c r="J190" s="251" t="str">
        <f aca="false">VLOOKUP($A190,'Institution Evaluation'!$A$56:$K$346,10,0)&amp;""</f>
        <v/>
      </c>
      <c r="K190" s="200" t="str">
        <f aca="false">IF(VLOOKUP($A190,'Institution Evaluation'!$A$56:$K$346,10,0)=TRUE(),"Yes","")</f>
        <v/>
      </c>
    </row>
    <row r="191" customFormat="false" ht="31.3" hidden="false" customHeight="false" outlineLevel="0" collapsed="false">
      <c r="A191" s="35" t="s">
        <v>174</v>
      </c>
      <c r="B191" s="45" t="str">
        <f aca="false">VLOOKUP($A191,Questions!$A$2:$X$333,2,0)</f>
        <v>Are you generally able to accommodate storing each institution's data within its geographic region?</v>
      </c>
      <c r="C191" s="199" t="str">
        <f aca="false">VLOOKUP($A191,'Institution Evaluation'!$A$56:$K$346,3,0)&amp;""</f>
        <v/>
      </c>
      <c r="D191" s="199" t="str">
        <f aca="false">VLOOKUP($A191,'Institution Evaluation'!$A$56:$K$346,4,0)&amp;""</f>
        <v/>
      </c>
      <c r="E191" s="206" t="str">
        <f aca="false">VLOOKUP($A191,'Institution Evaluation'!$A$56:$K$346,5,0)&amp;""</f>
        <v/>
      </c>
      <c r="F191" s="209" t="str">
        <f aca="false">VLOOKUP($A191,'Institution Evaluation'!$A$56:$K$346,6,0)&amp;""</f>
        <v/>
      </c>
      <c r="G191" s="197" t="str">
        <f aca="false">VLOOKUP($A191,'Institution Evaluation'!$A$56:$K$346,7,0)&amp;""</f>
        <v>Yes</v>
      </c>
      <c r="H191" s="198" t="str">
        <f aca="false">VLOOKUP($A191,'Institution Evaluation'!$A$56:$K$346,8,0)&amp;""</f>
        <v/>
      </c>
      <c r="I191" s="199" t="str">
        <f aca="false">VLOOKUP($A191,'Institution Evaluation'!$A$56:$K$346,9,0)&amp;""</f>
        <v>Standard Importance</v>
      </c>
      <c r="J191" s="251" t="str">
        <f aca="false">VLOOKUP($A191,'Institution Evaluation'!$A$56:$K$346,10,0)&amp;""</f>
        <v/>
      </c>
      <c r="K191" s="200" t="str">
        <f aca="false">IF(VLOOKUP($A191,'Institution Evaluation'!$A$56:$K$346,10,0)=TRUE(),"Yes","")</f>
        <v/>
      </c>
    </row>
    <row r="192" s="1" customFormat="true" ht="17.9" hidden="false" customHeight="false" outlineLevel="0" collapsed="false">
      <c r="A192" s="31" t="str">
        <f aca="false">VLOOKUP(LEFT($A193,4),'Auto Responses'!$N$4:$O$38,2,0)&amp;""</f>
        <v> Firewalls, IDS, IPS, and Networking</v>
      </c>
      <c r="B192" s="42"/>
      <c r="C192" s="43"/>
      <c r="D192" s="43"/>
      <c r="E192" s="204"/>
      <c r="F192" s="192" t="s">
        <v>454</v>
      </c>
      <c r="G192" s="201" t="s">
        <v>449</v>
      </c>
      <c r="H192" s="201" t="s">
        <v>450</v>
      </c>
      <c r="I192" s="201" t="s">
        <v>451</v>
      </c>
      <c r="J192" s="201" t="s">
        <v>452</v>
      </c>
      <c r="K192" s="43"/>
    </row>
    <row r="193" customFormat="false" ht="31.3" hidden="false" customHeight="false" outlineLevel="0" collapsed="false">
      <c r="A193" s="35" t="s">
        <v>188</v>
      </c>
      <c r="B193" s="45" t="str">
        <f aca="false">VLOOKUP($A193,Questions!$A$2:$X$333,2,0)</f>
        <v>Are you utilizing a stateful packet inspection (SPI) firewall?*</v>
      </c>
      <c r="C193" s="199" t="str">
        <f aca="false">VLOOKUP($A193,'Institution Evaluation'!$A$56:$K$346,3,0)&amp;""</f>
        <v/>
      </c>
      <c r="D193" s="199" t="str">
        <f aca="false">VLOOKUP($A193,'Institution Evaluation'!$A$56:$K$346,4,0)&amp;""</f>
        <v>This question does not apply.</v>
      </c>
      <c r="E193" s="206" t="str">
        <f aca="false">VLOOKUP($A193,'Institution Evaluation'!$A$56:$K$346,5,0)&amp;""</f>
        <v>Based on the response to REQU-01 on the "START HERE" tab, this question does not apply to this product or service. </v>
      </c>
      <c r="F193" s="209" t="str">
        <f aca="false">VLOOKUP($A193,'Institution Evaluation'!$A$56:$K$346,6,0)&amp;""</f>
        <v/>
      </c>
      <c r="G193" s="197" t="str">
        <f aca="false">VLOOKUP($A193,'Institution Evaluation'!$A$56:$K$346,7,0)&amp;""</f>
        <v>Yes</v>
      </c>
      <c r="H193" s="198" t="str">
        <f aca="false">VLOOKUP($A193,'Institution Evaluation'!$A$56:$K$346,8,0)&amp;""</f>
        <v/>
      </c>
      <c r="I193" s="199" t="str">
        <f aca="false">VLOOKUP($A193,'Institution Evaluation'!$A$56:$K$346,9,0)&amp;""</f>
        <v>Critical Importance</v>
      </c>
      <c r="J193" s="251" t="str">
        <f aca="false">VLOOKUP($A193,'Institution Evaluation'!$A$56:$K$346,10,0)&amp;""</f>
        <v/>
      </c>
      <c r="K193" s="200" t="str">
        <f aca="false">IF(VLOOKUP($A193,'Institution Evaluation'!$A$56:$K$346,10,0)=TRUE(),"Yes","")</f>
        <v/>
      </c>
    </row>
    <row r="194" customFormat="false" ht="31.3" hidden="false" customHeight="false" outlineLevel="0" collapsed="false">
      <c r="A194" s="35" t="s">
        <v>189</v>
      </c>
      <c r="B194" s="45" t="str">
        <f aca="false">VLOOKUP($A194,Questions!$A$2:$X$333,2,0)</f>
        <v>Do you have a documented policy for firewall change requests?*</v>
      </c>
      <c r="C194" s="199" t="str">
        <f aca="false">VLOOKUP($A194,'Institution Evaluation'!$A$56:$K$346,3,0)&amp;""</f>
        <v/>
      </c>
      <c r="D194" s="199" t="str">
        <f aca="false">VLOOKUP($A194,'Institution Evaluation'!$A$56:$K$346,4,0)&amp;""</f>
        <v>This question does not apply.</v>
      </c>
      <c r="E194" s="206" t="str">
        <f aca="false">VLOOKUP($A194,'Institution Evaluation'!$A$56:$K$346,5,0)&amp;""</f>
        <v>Based on the response to REQU-01 on the "START HERE" tab, this question does not apply to this product or service. </v>
      </c>
      <c r="F194" s="209" t="str">
        <f aca="false">VLOOKUP($A194,'Institution Evaluation'!$A$56:$K$346,6,0)&amp;""</f>
        <v/>
      </c>
      <c r="G194" s="197" t="str">
        <f aca="false">VLOOKUP($A194,'Institution Evaluation'!$A$56:$K$346,7,0)&amp;""</f>
        <v>Yes</v>
      </c>
      <c r="H194" s="198" t="str">
        <f aca="false">VLOOKUP($A194,'Institution Evaluation'!$A$56:$K$346,8,0)&amp;""</f>
        <v/>
      </c>
      <c r="I194" s="199" t="str">
        <f aca="false">VLOOKUP($A194,'Institution Evaluation'!$A$56:$K$346,9,0)&amp;""</f>
        <v>Critical Importance</v>
      </c>
      <c r="J194" s="251" t="str">
        <f aca="false">VLOOKUP($A194,'Institution Evaluation'!$A$56:$K$346,10,0)&amp;""</f>
        <v/>
      </c>
      <c r="K194" s="200" t="str">
        <f aca="false">IF(VLOOKUP($A194,'Institution Evaluation'!$A$56:$K$346,10,0)=TRUE(),"Yes","")</f>
        <v/>
      </c>
    </row>
    <row r="195" customFormat="false" ht="31.3" hidden="false" customHeight="false" outlineLevel="0" collapsed="false">
      <c r="A195" s="35" t="s">
        <v>190</v>
      </c>
      <c r="B195" s="45" t="str">
        <f aca="false">VLOOKUP($A195,Questions!$A$2:$X$333,2,0)</f>
        <v>Have you implemented an intrusion detection system (network-based)?*</v>
      </c>
      <c r="C195" s="199" t="str">
        <f aca="false">VLOOKUP($A195,'Institution Evaluation'!$A$56:$K$346,3,0)&amp;""</f>
        <v/>
      </c>
      <c r="D195" s="199" t="str">
        <f aca="false">VLOOKUP($A195,'Institution Evaluation'!$A$56:$K$346,4,0)&amp;""</f>
        <v>This question does not apply.</v>
      </c>
      <c r="E195" s="206" t="str">
        <f aca="false">VLOOKUP($A195,'Institution Evaluation'!$A$56:$K$346,5,0)&amp;""</f>
        <v>Based on the response to REQU-01 on the "START HERE" tab, this question does not apply to this product or service. </v>
      </c>
      <c r="F195" s="209" t="str">
        <f aca="false">VLOOKUP($A195,'Institution Evaluation'!$A$56:$K$346,6,0)&amp;""</f>
        <v/>
      </c>
      <c r="G195" s="197" t="str">
        <f aca="false">VLOOKUP($A195,'Institution Evaluation'!$A$56:$K$346,7,0)&amp;""</f>
        <v>Yes</v>
      </c>
      <c r="H195" s="198" t="str">
        <f aca="false">VLOOKUP($A195,'Institution Evaluation'!$A$56:$K$346,8,0)&amp;""</f>
        <v/>
      </c>
      <c r="I195" s="199" t="str">
        <f aca="false">VLOOKUP($A195,'Institution Evaluation'!$A$56:$K$346,9,0)&amp;""</f>
        <v>Critical Importance</v>
      </c>
      <c r="J195" s="251" t="str">
        <f aca="false">VLOOKUP($A195,'Institution Evaluation'!$A$56:$K$346,10,0)&amp;""</f>
        <v/>
      </c>
      <c r="K195" s="200" t="str">
        <f aca="false">IF(VLOOKUP($A195,'Institution Evaluation'!$A$56:$K$346,10,0)=TRUE(),"Yes","")</f>
        <v/>
      </c>
    </row>
    <row r="196" customFormat="false" ht="17.9" hidden="false" customHeight="false" outlineLevel="0" collapsed="false">
      <c r="A196" s="35" t="s">
        <v>191</v>
      </c>
      <c r="B196" s="45" t="str">
        <f aca="false">VLOOKUP($A196,Questions!$A$2:$X$333,2,0)</f>
        <v>Do you employ host-based intrusion detection?*</v>
      </c>
      <c r="C196" s="199" t="str">
        <f aca="false">VLOOKUP($A196,'Institution Evaluation'!$A$56:$K$346,3,0)&amp;""</f>
        <v/>
      </c>
      <c r="D196" s="199" t="str">
        <f aca="false">VLOOKUP($A196,'Institution Evaluation'!$A$56:$K$346,4,0)&amp;""</f>
        <v>This question does not apply.</v>
      </c>
      <c r="E196" s="206" t="str">
        <f aca="false">VLOOKUP($A196,'Institution Evaluation'!$A$56:$K$346,5,0)&amp;""</f>
        <v>Based on the response to REQU-01 on the "START HERE" tab, this question does not apply to this product or service. </v>
      </c>
      <c r="F196" s="209" t="str">
        <f aca="false">VLOOKUP($A196,'Institution Evaluation'!$A$56:$K$346,6,0)&amp;""</f>
        <v/>
      </c>
      <c r="G196" s="197" t="str">
        <f aca="false">VLOOKUP($A196,'Institution Evaluation'!$A$56:$K$346,7,0)&amp;""</f>
        <v>Yes</v>
      </c>
      <c r="H196" s="198" t="str">
        <f aca="false">VLOOKUP($A196,'Institution Evaluation'!$A$56:$K$346,8,0)&amp;""</f>
        <v/>
      </c>
      <c r="I196" s="199" t="str">
        <f aca="false">VLOOKUP($A196,'Institution Evaluation'!$A$56:$K$346,9,0)&amp;""</f>
        <v>Critical Importance</v>
      </c>
      <c r="J196" s="251" t="str">
        <f aca="false">VLOOKUP($A196,'Institution Evaluation'!$A$56:$K$346,10,0)&amp;""</f>
        <v/>
      </c>
      <c r="K196" s="200" t="str">
        <f aca="false">IF(VLOOKUP($A196,'Institution Evaluation'!$A$56:$K$346,10,0)=TRUE(),"Yes","")</f>
        <v/>
      </c>
    </row>
    <row r="197" customFormat="false" ht="31.3" hidden="false" customHeight="false" outlineLevel="0" collapsed="false">
      <c r="A197" s="35" t="s">
        <v>192</v>
      </c>
      <c r="B197" s="45" t="str">
        <f aca="false">VLOOKUP($A197,Questions!$A$2:$X$333,2,0)</f>
        <v>Are audit logs available for all changes to the network, firewall, IDS, and IPS systems?*</v>
      </c>
      <c r="C197" s="199" t="str">
        <f aca="false">VLOOKUP($A197,'Institution Evaluation'!$A$56:$K$346,3,0)&amp;""</f>
        <v/>
      </c>
      <c r="D197" s="199" t="str">
        <f aca="false">VLOOKUP($A197,'Institution Evaluation'!$A$56:$K$346,4,0)&amp;""</f>
        <v>This question does not apply.</v>
      </c>
      <c r="E197" s="206" t="str">
        <f aca="false">VLOOKUP($A197,'Institution Evaluation'!$A$56:$K$346,5,0)&amp;""</f>
        <v>Based on the response to REQU-01 on the "START HERE" tab, this question does not apply to this product or service. </v>
      </c>
      <c r="F197" s="209" t="str">
        <f aca="false">VLOOKUP($A197,'Institution Evaluation'!$A$56:$K$346,6,0)&amp;""</f>
        <v/>
      </c>
      <c r="G197" s="197" t="str">
        <f aca="false">VLOOKUP($A197,'Institution Evaluation'!$A$56:$K$346,7,0)&amp;""</f>
        <v>Yes</v>
      </c>
      <c r="H197" s="198" t="str">
        <f aca="false">VLOOKUP($A197,'Institution Evaluation'!$A$56:$K$346,8,0)&amp;""</f>
        <v/>
      </c>
      <c r="I197" s="199" t="str">
        <f aca="false">VLOOKUP($A197,'Institution Evaluation'!$A$56:$K$346,9,0)&amp;""</f>
        <v>Critical Importance</v>
      </c>
      <c r="J197" s="251" t="str">
        <f aca="false">VLOOKUP($A197,'Institution Evaluation'!$A$56:$K$346,10,0)&amp;""</f>
        <v/>
      </c>
      <c r="K197" s="200" t="str">
        <f aca="false">IF(VLOOKUP($A197,'Institution Evaluation'!$A$56:$K$346,10,0)=TRUE(),"Yes","")</f>
        <v/>
      </c>
    </row>
    <row r="198" customFormat="false" ht="31.3" hidden="false" customHeight="false" outlineLevel="0" collapsed="false">
      <c r="A198" s="35" t="s">
        <v>196</v>
      </c>
      <c r="B198" s="45" t="str">
        <f aca="false">VLOOKUP($A198,Questions!$A$2:$X$333,2,0)</f>
        <v>Are you employing any next-generation persistent threat (NGPT) monitoring?</v>
      </c>
      <c r="C198" s="199" t="str">
        <f aca="false">VLOOKUP($A198,'Institution Evaluation'!$A$56:$K$346,3,0)&amp;""</f>
        <v/>
      </c>
      <c r="D198" s="199" t="str">
        <f aca="false">VLOOKUP($A198,'Institution Evaluation'!$A$56:$K$346,4,0)&amp;""</f>
        <v>This question does not apply.</v>
      </c>
      <c r="E198" s="206" t="str">
        <f aca="false">VLOOKUP($A198,'Institution Evaluation'!$A$56:$K$346,5,0)&amp;""</f>
        <v>Based on the response to REQU-01 on the "START HERE" tab, this question does not apply to this product or service. </v>
      </c>
      <c r="F198" s="209" t="str">
        <f aca="false">VLOOKUP($A198,'Institution Evaluation'!$A$56:$K$346,6,0)&amp;""</f>
        <v/>
      </c>
      <c r="G198" s="197" t="str">
        <f aca="false">VLOOKUP($A198,'Institution Evaluation'!$A$56:$K$346,7,0)&amp;""</f>
        <v>Yes</v>
      </c>
      <c r="H198" s="198" t="str">
        <f aca="false">VLOOKUP($A198,'Institution Evaluation'!$A$56:$K$346,8,0)&amp;""</f>
        <v/>
      </c>
      <c r="I198" s="199" t="str">
        <f aca="false">VLOOKUP($A198,'Institution Evaluation'!$A$56:$K$346,9,0)&amp;""</f>
        <v>Standard Importance</v>
      </c>
      <c r="J198" s="251" t="str">
        <f aca="false">VLOOKUP($A198,'Institution Evaluation'!$A$56:$K$346,10,0)&amp;""</f>
        <v/>
      </c>
      <c r="K198" s="200" t="str">
        <f aca="false">IF(VLOOKUP($A198,'Institution Evaluation'!$A$56:$K$346,10,0)=TRUE(),"Yes","")</f>
        <v/>
      </c>
    </row>
    <row r="199" customFormat="false" ht="17.9" hidden="false" customHeight="false" outlineLevel="0" collapsed="false">
      <c r="A199" s="31" t="str">
        <f aca="false">VLOOKUP(LEFT($A200,4),'Auto Responses'!$N$4:$O$38,2,0)&amp;""</f>
        <v> Policies, Processes, and Procedures</v>
      </c>
      <c r="B199" s="42"/>
      <c r="C199" s="43"/>
      <c r="D199" s="43"/>
      <c r="E199" s="204"/>
      <c r="F199" s="192" t="s">
        <v>454</v>
      </c>
      <c r="G199" s="201" t="s">
        <v>449</v>
      </c>
      <c r="H199" s="201" t="s">
        <v>450</v>
      </c>
      <c r="I199" s="201" t="s">
        <v>451</v>
      </c>
      <c r="J199" s="201" t="s">
        <v>452</v>
      </c>
      <c r="K199" s="43"/>
      <c r="L199" s="1"/>
      <c r="M199" s="1"/>
      <c r="N199" s="1"/>
    </row>
    <row r="200" s="1" customFormat="true" ht="50.7" hidden="false" customHeight="false" outlineLevel="0" collapsed="false">
      <c r="A200" s="35" t="s">
        <v>96</v>
      </c>
      <c r="B200" s="45" t="str">
        <f aca="false">VLOOKUP($A200,Questions!$A$2:$X$333,2,0)</f>
        <v>Is your company subject to the institution's geographic region's laws and regulations?*</v>
      </c>
      <c r="C200" s="199" t="str">
        <f aca="false">VLOOKUP($A200,'Institution Evaluation'!$A$56:$K$346,3,0)&amp;""</f>
        <v>Yes</v>
      </c>
      <c r="D200" s="199" t="str">
        <f aca="false">VLOOKUP($A200,'Institution Evaluation'!$A$56:$K$346,4,0)&amp;""</f>
        <v>Swiss regulations</v>
      </c>
      <c r="E200" s="206" t="str">
        <f aca="false">VLOOKUP($A200,'Institution Evaluation'!$A$56:$K$346,5,0)&amp;""</f>
        <v>State the country that governs and regulates your company.</v>
      </c>
      <c r="F200" s="209" t="str">
        <f aca="false">VLOOKUP($A200,'Institution Evaluation'!$A$56:$K$346,6,0)&amp;""</f>
        <v/>
      </c>
      <c r="G200" s="197" t="str">
        <f aca="false">VLOOKUP($A200,'Institution Evaluation'!$A$56:$K$346,7,0)&amp;""</f>
        <v>Yes</v>
      </c>
      <c r="H200" s="198" t="str">
        <f aca="false">VLOOKUP($A200,'Institution Evaluation'!$A$56:$K$346,8,0)&amp;""</f>
        <v/>
      </c>
      <c r="I200" s="199" t="str">
        <f aca="false">VLOOKUP($A200,'Institution Evaluation'!$A$56:$K$346,9,0)&amp;""</f>
        <v>Critical Importance</v>
      </c>
      <c r="J200" s="251" t="str">
        <f aca="false">VLOOKUP($A200,'Institution Evaluation'!$A$56:$K$346,10,0)&amp;""</f>
        <v/>
      </c>
      <c r="K200" s="200" t="str">
        <f aca="false">IF(VLOOKUP($A200,'Institution Evaluation'!$A$56:$K$346,10,0)=TRUE(),"Yes","")</f>
        <v/>
      </c>
      <c r="L200" s="101"/>
      <c r="M200" s="101"/>
      <c r="N200" s="101"/>
    </row>
    <row r="201" customFormat="false" ht="31.3" hidden="false" customHeight="false" outlineLevel="0" collapsed="false">
      <c r="A201" s="35" t="s">
        <v>98</v>
      </c>
      <c r="B201" s="45" t="str">
        <f aca="false">VLOOKUP($A201,Questions!$A$2:$X$333,2,0)</f>
        <v>Can you accommodate encryption requirements using open standards?</v>
      </c>
      <c r="C201" s="199" t="str">
        <f aca="false">VLOOKUP($A201,'Institution Evaluation'!$A$56:$K$346,3,0)&amp;""</f>
        <v>Yes</v>
      </c>
      <c r="D201" s="199" t="str">
        <f aca="false">VLOOKUP($A201,'Institution Evaluation'!$A$56:$K$346,4,0)&amp;""</f>
        <v/>
      </c>
      <c r="E201" s="206" t="str">
        <f aca="false">VLOOKUP($A201,'Institution Evaluation'!$A$56:$K$346,5,0)&amp;""</f>
        <v/>
      </c>
      <c r="F201" s="209" t="str">
        <f aca="false">VLOOKUP($A201,'Institution Evaluation'!$A$56:$K$346,6,0)&amp;""</f>
        <v/>
      </c>
      <c r="G201" s="197" t="str">
        <f aca="false">VLOOKUP($A201,'Institution Evaluation'!$A$56:$K$346,7,0)&amp;""</f>
        <v>Yes</v>
      </c>
      <c r="H201" s="198" t="str">
        <f aca="false">VLOOKUP($A201,'Institution Evaluation'!$A$56:$K$346,8,0)&amp;""</f>
        <v/>
      </c>
      <c r="I201" s="199" t="str">
        <f aca="false">VLOOKUP($A201,'Institution Evaluation'!$A$56:$K$346,9,0)&amp;""</f>
        <v>Standard Importance</v>
      </c>
      <c r="J201" s="251" t="str">
        <f aca="false">VLOOKUP($A201,'Institution Evaluation'!$A$56:$K$346,10,0)&amp;""</f>
        <v/>
      </c>
      <c r="K201" s="200" t="str">
        <f aca="false">IF(VLOOKUP($A201,'Institution Evaluation'!$A$56:$K$346,10,0)=TRUE(),"Yes","")</f>
        <v/>
      </c>
    </row>
    <row r="202" customFormat="false" ht="31.3" hidden="false" customHeight="false" outlineLevel="0" collapsed="false">
      <c r="A202" s="35" t="s">
        <v>108</v>
      </c>
      <c r="B202" s="45" t="str">
        <f aca="false">VLOOKUP($A202,Questions!$A$2:$X$333,2,0)</f>
        <v>Will you comply with applicable breach notification laws?</v>
      </c>
      <c r="C202" s="199" t="str">
        <f aca="false">VLOOKUP($A202,'Institution Evaluation'!$A$56:$K$346,3,0)&amp;""</f>
        <v>No</v>
      </c>
      <c r="D202" s="199" t="str">
        <f aca="false">VLOOKUP($A202,'Institution Evaluation'!$A$56:$K$346,4,0)&amp;""</f>
        <v>NA </v>
      </c>
      <c r="E202" s="206" t="str">
        <f aca="false">VLOOKUP($A202,'Institution Evaluation'!$A$56:$K$346,5,0)&amp;""</f>
        <v>Summarize why you will not comple with applicable breach notification laws.</v>
      </c>
      <c r="F202" s="209" t="str">
        <f aca="false">VLOOKUP($A202,'Institution Evaluation'!$A$56:$K$346,6,0)&amp;""</f>
        <v/>
      </c>
      <c r="G202" s="197" t="str">
        <f aca="false">VLOOKUP($A202,'Institution Evaluation'!$A$56:$K$346,7,0)&amp;""</f>
        <v>Yes</v>
      </c>
      <c r="H202" s="198" t="str">
        <f aca="false">VLOOKUP($A202,'Institution Evaluation'!$A$56:$K$346,8,0)&amp;""</f>
        <v/>
      </c>
      <c r="I202" s="199" t="str">
        <f aca="false">VLOOKUP($A202,'Institution Evaluation'!$A$56:$K$346,9,0)&amp;""</f>
        <v>Minor Importance</v>
      </c>
      <c r="J202" s="251" t="str">
        <f aca="false">VLOOKUP($A202,'Institution Evaluation'!$A$56:$K$346,10,0)&amp;""</f>
        <v/>
      </c>
      <c r="K202" s="200" t="str">
        <f aca="false">IF(VLOOKUP($A202,'Institution Evaluation'!$A$56:$K$346,10,0)=TRUE(),"Yes","")</f>
        <v/>
      </c>
    </row>
    <row r="203" customFormat="false" ht="31.3" hidden="false" customHeight="false" outlineLevel="0" collapsed="false">
      <c r="A203" s="35" t="s">
        <v>109</v>
      </c>
      <c r="B203" s="45" t="str">
        <f aca="false">VLOOKUP($A203,Questions!$A$2:$X$333,2,0)</f>
        <v>Do you have an information security awareness program?</v>
      </c>
      <c r="C203" s="199" t="str">
        <f aca="false">VLOOKUP($A203,'Institution Evaluation'!$A$56:$K$346,3,0)&amp;""</f>
        <v>No</v>
      </c>
      <c r="D203" s="199" t="str">
        <f aca="false">VLOOKUP($A203,'Institution Evaluation'!$A$56:$K$346,4,0)&amp;""</f>
        <v>NA</v>
      </c>
      <c r="E203" s="206" t="str">
        <f aca="false">VLOOKUP($A203,'Institution Evaluation'!$A$56:$K$346,5,0)&amp;""</f>
        <v>State plans to implement an information security awareness program.</v>
      </c>
      <c r="F203" s="209" t="str">
        <f aca="false">VLOOKUP($A203,'Institution Evaluation'!$A$56:$K$346,6,0)&amp;""</f>
        <v/>
      </c>
      <c r="G203" s="197" t="str">
        <f aca="false">VLOOKUP($A203,'Institution Evaluation'!$A$56:$K$346,7,0)&amp;""</f>
        <v>Yes</v>
      </c>
      <c r="H203" s="198" t="str">
        <f aca="false">VLOOKUP($A203,'Institution Evaluation'!$A$56:$K$346,8,0)&amp;""</f>
        <v/>
      </c>
      <c r="I203" s="199" t="str">
        <f aca="false">VLOOKUP($A203,'Institution Evaluation'!$A$56:$K$346,9,0)&amp;""</f>
        <v>Minor Importance</v>
      </c>
      <c r="J203" s="251" t="str">
        <f aca="false">VLOOKUP($A203,'Institution Evaluation'!$A$56:$K$346,10,0)&amp;""</f>
        <v/>
      </c>
      <c r="K203" s="200" t="str">
        <f aca="false">IF(VLOOKUP($A203,'Institution Evaluation'!$A$56:$K$346,10,0)=TRUE(),"Yes","")</f>
        <v/>
      </c>
    </row>
    <row r="204" customFormat="false" ht="31.3" hidden="false" customHeight="false" outlineLevel="0" collapsed="false">
      <c r="A204" s="35" t="s">
        <v>110</v>
      </c>
      <c r="B204" s="45" t="str">
        <f aca="false">VLOOKUP($A204,Questions!$A$2:$X$333,2,0)</f>
        <v>Is security awareness training mandatory for all employees?</v>
      </c>
      <c r="C204" s="199" t="str">
        <f aca="false">VLOOKUP($A204,'Institution Evaluation'!$A$56:$K$346,3,0)&amp;""</f>
        <v>No</v>
      </c>
      <c r="D204" s="199" t="str">
        <f aca="false">VLOOKUP($A204,'Institution Evaluation'!$A$56:$K$346,4,0)&amp;""</f>
        <v>We have security programs and fundings. Companies using QGIS are funding those programs. Those concern ALL contributors, not only employees</v>
      </c>
      <c r="E204" s="206" t="str">
        <f aca="false">VLOOKUP($A204,'Institution Evaluation'!$A$56:$K$346,5,0)&amp;""</f>
        <v>State plans to make security awareness training mandatory for all employees.</v>
      </c>
      <c r="F204" s="209" t="str">
        <f aca="false">VLOOKUP($A204,'Institution Evaluation'!$A$56:$K$346,6,0)&amp;""</f>
        <v/>
      </c>
      <c r="G204" s="197" t="str">
        <f aca="false">VLOOKUP($A204,'Institution Evaluation'!$A$56:$K$346,7,0)&amp;""</f>
        <v>Yes</v>
      </c>
      <c r="H204" s="198" t="str">
        <f aca="false">VLOOKUP($A204,'Institution Evaluation'!$A$56:$K$346,8,0)&amp;""</f>
        <v/>
      </c>
      <c r="I204" s="199" t="str">
        <f aca="false">VLOOKUP($A204,'Institution Evaluation'!$A$56:$K$346,9,0)&amp;""</f>
        <v>Minor Importance</v>
      </c>
      <c r="J204" s="251" t="str">
        <f aca="false">VLOOKUP($A204,'Institution Evaluation'!$A$56:$K$346,10,0)&amp;""</f>
        <v/>
      </c>
      <c r="K204" s="200" t="str">
        <f aca="false">IF(VLOOKUP($A204,'Institution Evaluation'!$A$56:$K$346,10,0)=TRUE(),"Yes","")</f>
        <v/>
      </c>
    </row>
    <row r="205" s="1" customFormat="true" ht="46.25" hidden="false" customHeight="false" outlineLevel="0" collapsed="false">
      <c r="A205" s="35" t="s">
        <v>113</v>
      </c>
      <c r="B205" s="45" t="str">
        <f aca="false">VLOOKUP($A205,Questions!$A$2:$X$333,2,0)</f>
        <v>Do you have documented, and currently implemented, internal audit processes and procedures?</v>
      </c>
      <c r="C205" s="199" t="str">
        <f aca="false">VLOOKUP($A205,'Institution Evaluation'!$A$56:$K$346,3,0)&amp;""</f>
        <v>No</v>
      </c>
      <c r="D205" s="199" t="str">
        <f aca="false">VLOOKUP($A205,'Institution Evaluation'!$A$56:$K$346,4,0)&amp;""</f>
        <v>NA</v>
      </c>
      <c r="E205" s="206" t="str">
        <f aca="false">VLOOKUP($A205,'Institution Evaluation'!$A$56:$K$346,5,0)&amp;""</f>
        <v>State plans to document and implement internal audit process and procedure in your environment.</v>
      </c>
      <c r="F205" s="209" t="str">
        <f aca="false">VLOOKUP($A205,'Institution Evaluation'!$A$56:$K$346,6,0)&amp;""</f>
        <v/>
      </c>
      <c r="G205" s="197" t="str">
        <f aca="false">VLOOKUP($A205,'Institution Evaluation'!$A$56:$K$346,7,0)&amp;""</f>
        <v>Yes</v>
      </c>
      <c r="H205" s="198" t="str">
        <f aca="false">VLOOKUP($A205,'Institution Evaluation'!$A$56:$K$346,8,0)&amp;""</f>
        <v/>
      </c>
      <c r="I205" s="199" t="str">
        <f aca="false">VLOOKUP($A205,'Institution Evaluation'!$A$56:$K$346,9,0)&amp;""</f>
        <v>Minor Importance</v>
      </c>
      <c r="J205" s="251" t="str">
        <f aca="false">VLOOKUP($A205,'Institution Evaluation'!$A$56:$K$346,10,0)&amp;""</f>
        <v/>
      </c>
      <c r="K205" s="200" t="str">
        <f aca="false">IF(VLOOKUP($A205,'Institution Evaluation'!$A$56:$K$346,10,0)=TRUE(),"Yes","")</f>
        <v/>
      </c>
      <c r="L205" s="101"/>
      <c r="M205" s="101"/>
      <c r="N205" s="101"/>
    </row>
    <row r="206" customFormat="false" ht="31.3" hidden="false" customHeight="false" outlineLevel="0" collapsed="false">
      <c r="A206" s="35" t="s">
        <v>114</v>
      </c>
      <c r="B206" s="45" t="str">
        <f aca="false">VLOOKUP($A206,Questions!$A$2:$X$333,2,0)</f>
        <v>Does your organization have physical security controls and policies in place?</v>
      </c>
      <c r="C206" s="199" t="str">
        <f aca="false">VLOOKUP($A206,'Institution Evaluation'!$A$56:$K$346,3,0)&amp;""</f>
        <v>No</v>
      </c>
      <c r="D206" s="199" t="str">
        <f aca="false">VLOOKUP($A206,'Institution Evaluation'!$A$56:$K$346,4,0)&amp;""</f>
        <v>NA</v>
      </c>
      <c r="E206" s="206" t="str">
        <f aca="false">VLOOKUP($A206,'Institution Evaluation'!$A$56:$K$346,5,0)&amp;""</f>
        <v>Describe your intent to implement physical security controls and policies.</v>
      </c>
      <c r="F206" s="209" t="str">
        <f aca="false">VLOOKUP($A206,'Institution Evaluation'!$A$56:$K$346,6,0)&amp;""</f>
        <v/>
      </c>
      <c r="G206" s="197" t="str">
        <f aca="false">VLOOKUP($A206,'Institution Evaluation'!$A$56:$K$346,7,0)&amp;""</f>
        <v>Yes</v>
      </c>
      <c r="H206" s="198" t="str">
        <f aca="false">VLOOKUP($A206,'Institution Evaluation'!$A$56:$K$346,8,0)&amp;""</f>
        <v/>
      </c>
      <c r="I206" s="199" t="str">
        <f aca="false">VLOOKUP($A206,'Institution Evaluation'!$A$56:$K$346,9,0)&amp;""</f>
        <v>Minor Importance</v>
      </c>
      <c r="J206" s="251" t="str">
        <f aca="false">VLOOKUP($A206,'Institution Evaluation'!$A$56:$K$346,10,0)&amp;""</f>
        <v/>
      </c>
      <c r="K206" s="200" t="str">
        <f aca="false">IF(VLOOKUP($A206,'Institution Evaluation'!$A$56:$K$346,10,0)=TRUE(),"Yes","")</f>
        <v/>
      </c>
    </row>
    <row r="207" customFormat="false" ht="17.9" hidden="false" customHeight="false" outlineLevel="0" collapsed="false">
      <c r="A207" s="31" t="str">
        <f aca="false">VLOOKUP(LEFT($A208,4),'Auto Responses'!$N$4:$O$38,2,0)&amp;""</f>
        <v> Incident Handling</v>
      </c>
      <c r="B207" s="42"/>
      <c r="C207" s="43"/>
      <c r="D207" s="43"/>
      <c r="E207" s="204"/>
      <c r="F207" s="192" t="s">
        <v>454</v>
      </c>
      <c r="G207" s="201" t="s">
        <v>449</v>
      </c>
      <c r="H207" s="201" t="s">
        <v>450</v>
      </c>
      <c r="I207" s="201" t="s">
        <v>451</v>
      </c>
      <c r="J207" s="201" t="s">
        <v>452</v>
      </c>
      <c r="K207" s="43"/>
      <c r="L207" s="1"/>
      <c r="M207" s="1"/>
      <c r="N207" s="1"/>
    </row>
    <row r="208" customFormat="false" ht="17.9" hidden="false" customHeight="false" outlineLevel="0" collapsed="false">
      <c r="A208" s="35" t="s">
        <v>199</v>
      </c>
      <c r="B208" s="45" t="str">
        <f aca="false">VLOOKUP($A208,Questions!$A$2:$X$333,2,0)</f>
        <v>Do you have a formal incident response plan?</v>
      </c>
      <c r="C208" s="199" t="str">
        <f aca="false">VLOOKUP($A208,'Institution Evaluation'!$A$56:$K$346,3,0)&amp;""</f>
        <v/>
      </c>
      <c r="D208" s="199" t="str">
        <f aca="false">VLOOKUP($A208,'Institution Evaluation'!$A$56:$K$346,4,0)&amp;""</f>
        <v>This question does not apply.</v>
      </c>
      <c r="E208" s="206" t="str">
        <f aca="false">VLOOKUP($A208,'Institution Evaluation'!$A$56:$K$346,5,0)&amp;""</f>
        <v>Based on the response to REQU-01 on the "START HERE" tab, this question does not apply to this product or service. </v>
      </c>
      <c r="F208" s="209" t="str">
        <f aca="false">VLOOKUP($A208,'Institution Evaluation'!$A$56:$K$346,6,0)&amp;""</f>
        <v/>
      </c>
      <c r="G208" s="197" t="str">
        <f aca="false">VLOOKUP($A208,'Institution Evaluation'!$A$56:$K$346,7,0)&amp;""</f>
        <v>Yes</v>
      </c>
      <c r="H208" s="198" t="str">
        <f aca="false">VLOOKUP($A208,'Institution Evaluation'!$A$56:$K$346,8,0)&amp;""</f>
        <v/>
      </c>
      <c r="I208" s="199" t="str">
        <f aca="false">VLOOKUP($A208,'Institution Evaluation'!$A$56:$K$346,9,0)&amp;""</f>
        <v>Standard Importance</v>
      </c>
      <c r="J208" s="251" t="str">
        <f aca="false">VLOOKUP($A208,'Institution Evaluation'!$A$56:$K$346,10,0)&amp;""</f>
        <v/>
      </c>
      <c r="K208" s="200" t="str">
        <f aca="false">IF(VLOOKUP($A208,'Institution Evaluation'!$A$56:$K$346,10,0)=TRUE(),"Yes","")</f>
        <v/>
      </c>
    </row>
    <row r="209" customFormat="false" ht="31.3" hidden="false" customHeight="false" outlineLevel="0" collapsed="false">
      <c r="A209" s="35" t="s">
        <v>200</v>
      </c>
      <c r="B209" s="45" t="str">
        <f aca="false">VLOOKUP($A209,Questions!$A$2:$X$333,2,0)</f>
        <v>Do you either have an internal incident response team or retain an external team?</v>
      </c>
      <c r="C209" s="199" t="str">
        <f aca="false">VLOOKUP($A209,'Institution Evaluation'!$A$56:$K$346,3,0)&amp;""</f>
        <v/>
      </c>
      <c r="D209" s="199" t="str">
        <f aca="false">VLOOKUP($A209,'Institution Evaluation'!$A$56:$K$346,4,0)&amp;""</f>
        <v>This question does not apply.</v>
      </c>
      <c r="E209" s="206" t="str">
        <f aca="false">VLOOKUP($A209,'Institution Evaluation'!$A$56:$K$346,5,0)&amp;""</f>
        <v>Based on the response to REQU-01 on the "START HERE" tab, this question does not apply to this product or service. </v>
      </c>
      <c r="F209" s="209" t="str">
        <f aca="false">VLOOKUP($A209,'Institution Evaluation'!$A$56:$K$346,6,0)&amp;""</f>
        <v/>
      </c>
      <c r="G209" s="197" t="str">
        <f aca="false">VLOOKUP($A209,'Institution Evaluation'!$A$56:$K$346,7,0)&amp;""</f>
        <v>Yes</v>
      </c>
      <c r="H209" s="198" t="str">
        <f aca="false">VLOOKUP($A209,'Institution Evaluation'!$A$56:$K$346,8,0)&amp;""</f>
        <v/>
      </c>
      <c r="I209" s="199" t="str">
        <f aca="false">VLOOKUP($A209,'Institution Evaluation'!$A$56:$K$346,9,0)&amp;""</f>
        <v>Minor Importance</v>
      </c>
      <c r="J209" s="251" t="str">
        <f aca="false">VLOOKUP($A209,'Institution Evaluation'!$A$56:$K$346,10,0)&amp;""</f>
        <v/>
      </c>
      <c r="K209" s="200" t="str">
        <f aca="false">IF(VLOOKUP($A209,'Institution Evaluation'!$A$56:$K$346,10,0)=TRUE(),"Yes","")</f>
        <v/>
      </c>
    </row>
    <row r="210" s="1" customFormat="true" ht="31.3" hidden="false" customHeight="false" outlineLevel="0" collapsed="false">
      <c r="A210" s="35" t="s">
        <v>201</v>
      </c>
      <c r="B210" s="45" t="str">
        <f aca="false">VLOOKUP($A210,Questions!$A$2:$X$333,2,0)</f>
        <v>Do you have the capability to respond to incidents on a 24 x 7 x 365 basis?</v>
      </c>
      <c r="C210" s="199" t="str">
        <f aca="false">VLOOKUP($A210,'Institution Evaluation'!$A$56:$K$346,3,0)&amp;""</f>
        <v/>
      </c>
      <c r="D210" s="199" t="str">
        <f aca="false">VLOOKUP($A210,'Institution Evaluation'!$A$56:$K$346,4,0)&amp;""</f>
        <v>This question does not apply.</v>
      </c>
      <c r="E210" s="206" t="str">
        <f aca="false">VLOOKUP($A210,'Institution Evaluation'!$A$56:$K$346,5,0)&amp;""</f>
        <v>Based on the response to REQU-01 on the "START HERE" tab, this question does not apply to this product or service. </v>
      </c>
      <c r="F210" s="209" t="str">
        <f aca="false">VLOOKUP($A210,'Institution Evaluation'!$A$56:$K$346,6,0)&amp;""</f>
        <v/>
      </c>
      <c r="G210" s="197" t="str">
        <f aca="false">VLOOKUP($A210,'Institution Evaluation'!$A$56:$K$346,7,0)&amp;""</f>
        <v>Yes</v>
      </c>
      <c r="H210" s="198" t="str">
        <f aca="false">VLOOKUP($A210,'Institution Evaluation'!$A$56:$K$346,8,0)&amp;""</f>
        <v/>
      </c>
      <c r="I210" s="199" t="str">
        <f aca="false">VLOOKUP($A210,'Institution Evaluation'!$A$56:$K$346,9,0)&amp;""</f>
        <v>Minor Importance</v>
      </c>
      <c r="J210" s="251" t="str">
        <f aca="false">VLOOKUP($A210,'Institution Evaluation'!$A$56:$K$346,10,0)&amp;""</f>
        <v/>
      </c>
      <c r="K210" s="200" t="str">
        <f aca="false">IF(VLOOKUP($A210,'Institution Evaluation'!$A$56:$K$346,10,0)=TRUE(),"Yes","")</f>
        <v/>
      </c>
      <c r="L210" s="101"/>
      <c r="M210" s="101"/>
      <c r="N210" s="101"/>
    </row>
    <row r="211" customFormat="false" ht="46.25" hidden="false" customHeight="false" outlineLevel="0" collapsed="false">
      <c r="A211" s="35" t="s">
        <v>202</v>
      </c>
      <c r="B211" s="45" t="str">
        <f aca="false">VLOOKUP($A211,Questions!$A$2:$X$333,2,0)</f>
        <v>Do you carry cyber-risk insurance to protect against unforeseen service outages, data that is lost or stolen, and security incidents?</v>
      </c>
      <c r="C211" s="199" t="str">
        <f aca="false">VLOOKUP($A211,'Institution Evaluation'!$A$56:$K$346,3,0)&amp;""</f>
        <v/>
      </c>
      <c r="D211" s="199" t="str">
        <f aca="false">VLOOKUP($A211,'Institution Evaluation'!$A$56:$K$346,4,0)&amp;""</f>
        <v>This question does not apply.</v>
      </c>
      <c r="E211" s="206" t="str">
        <f aca="false">VLOOKUP($A211,'Institution Evaluation'!$A$56:$K$346,5,0)&amp;""</f>
        <v>Based on the response to REQU-01 on the "START HERE" tab, this question does not apply to this product or service. </v>
      </c>
      <c r="F211" s="209" t="str">
        <f aca="false">VLOOKUP($A211,'Institution Evaluation'!$A$56:$K$346,6,0)&amp;""</f>
        <v/>
      </c>
      <c r="G211" s="197" t="str">
        <f aca="false">VLOOKUP($A211,'Institution Evaluation'!$A$56:$K$346,7,0)&amp;""</f>
        <v>Yes</v>
      </c>
      <c r="H211" s="198" t="str">
        <f aca="false">VLOOKUP($A211,'Institution Evaluation'!$A$56:$K$346,8,0)&amp;""</f>
        <v/>
      </c>
      <c r="I211" s="199" t="str">
        <f aca="false">VLOOKUP($A211,'Institution Evaluation'!$A$56:$K$346,9,0)&amp;""</f>
        <v>Minor Importance</v>
      </c>
      <c r="J211" s="251" t="str">
        <f aca="false">VLOOKUP($A211,'Institution Evaluation'!$A$56:$K$346,10,0)&amp;""</f>
        <v/>
      </c>
      <c r="K211" s="200" t="str">
        <f aca="false">IF(VLOOKUP($A211,'Institution Evaluation'!$A$56:$K$346,10,0)=TRUE(),"Yes","")</f>
        <v/>
      </c>
    </row>
    <row r="212" customFormat="false" ht="17.9" hidden="false" customHeight="false" outlineLevel="0" collapsed="false">
      <c r="A212" s="31" t="str">
        <f aca="false">VLOOKUP(LEFT($A213,4),'Auto Responses'!$N$4:$O$38,2,0)&amp;""</f>
        <v> Vulnerability Management</v>
      </c>
      <c r="B212" s="42"/>
      <c r="C212" s="43"/>
      <c r="D212" s="43"/>
      <c r="E212" s="204"/>
      <c r="F212" s="192" t="s">
        <v>454</v>
      </c>
      <c r="G212" s="201" t="s">
        <v>449</v>
      </c>
      <c r="H212" s="201" t="s">
        <v>450</v>
      </c>
      <c r="I212" s="201" t="s">
        <v>451</v>
      </c>
      <c r="J212" s="201" t="s">
        <v>452</v>
      </c>
      <c r="K212" s="43"/>
      <c r="L212" s="1"/>
      <c r="M212" s="1"/>
      <c r="N212" s="1"/>
    </row>
    <row r="213" customFormat="false" ht="46.25" hidden="false" customHeight="false" outlineLevel="0" collapsed="false">
      <c r="A213" s="35" t="s">
        <v>203</v>
      </c>
      <c r="B213" s="45" t="str">
        <f aca="false">VLOOKUP($A213,Questions!$A$2:$X$333,2,0)</f>
        <v>Are your systems and applications scanned with an authenticated user account for vulnerabilities (that are remediated) prior to new releases?*</v>
      </c>
      <c r="C213" s="199" t="str">
        <f aca="false">VLOOKUP($A213,'Institution Evaluation'!$A$56:$K$346,3,0)&amp;""</f>
        <v/>
      </c>
      <c r="D213" s="199" t="str">
        <f aca="false">VLOOKUP($A213,'Institution Evaluation'!$A$56:$K$346,4,0)&amp;""</f>
        <v>This question does not apply.</v>
      </c>
      <c r="E213" s="206" t="str">
        <f aca="false">VLOOKUP($A213,'Institution Evaluation'!$A$56:$K$346,5,0)&amp;""</f>
        <v>Based on the response to REQU-01 on the "START HERE" tab, this question does not apply to this product or service. </v>
      </c>
      <c r="F213" s="209" t="str">
        <f aca="false">VLOOKUP($A213,'Institution Evaluation'!$A$56:$K$346,6,0)&amp;""</f>
        <v/>
      </c>
      <c r="G213" s="197" t="str">
        <f aca="false">VLOOKUP($A213,'Institution Evaluation'!$A$56:$K$346,7,0)&amp;""</f>
        <v>Yes</v>
      </c>
      <c r="H213" s="198" t="str">
        <f aca="false">VLOOKUP($A213,'Institution Evaluation'!$A$56:$K$346,8,0)&amp;""</f>
        <v/>
      </c>
      <c r="I213" s="199" t="str">
        <f aca="false">VLOOKUP($A213,'Institution Evaluation'!$A$56:$K$346,9,0)&amp;""</f>
        <v>Critical Importance</v>
      </c>
      <c r="J213" s="251" t="str">
        <f aca="false">VLOOKUP($A213,'Institution Evaluation'!$A$56:$K$346,10,0)&amp;""</f>
        <v/>
      </c>
      <c r="K213" s="200" t="str">
        <f aca="false">IF(VLOOKUP($A213,'Institution Evaluation'!$A$56:$K$346,10,0)=TRUE(),"Yes","")</f>
        <v/>
      </c>
    </row>
    <row r="214" customFormat="false" ht="31.3" hidden="false" customHeight="false" outlineLevel="0" collapsed="false">
      <c r="A214" s="35" t="s">
        <v>204</v>
      </c>
      <c r="B214" s="45" t="str">
        <f aca="false">VLOOKUP($A214,Questions!$A$2:$X$333,2,0)</f>
        <v>Will you provide results of application and system vulnerability scans to the institution?*</v>
      </c>
      <c r="C214" s="199" t="str">
        <f aca="false">VLOOKUP($A214,'Institution Evaluation'!$A$56:$K$346,3,0)&amp;""</f>
        <v/>
      </c>
      <c r="D214" s="199" t="str">
        <f aca="false">VLOOKUP($A214,'Institution Evaluation'!$A$56:$K$346,4,0)&amp;""</f>
        <v>This question does not apply.</v>
      </c>
      <c r="E214" s="206" t="str">
        <f aca="false">VLOOKUP($A214,'Institution Evaluation'!$A$56:$K$346,5,0)&amp;""</f>
        <v>Based on the response to REQU-01 on the "START HERE" tab, this question does not apply to this product or service. </v>
      </c>
      <c r="F214" s="209" t="str">
        <f aca="false">VLOOKUP($A214,'Institution Evaluation'!$A$56:$K$346,6,0)&amp;""</f>
        <v/>
      </c>
      <c r="G214" s="197" t="str">
        <f aca="false">VLOOKUP($A214,'Institution Evaluation'!$A$56:$K$346,7,0)&amp;""</f>
        <v>Yes</v>
      </c>
      <c r="H214" s="198" t="str">
        <f aca="false">VLOOKUP($A214,'Institution Evaluation'!$A$56:$K$346,8,0)&amp;""</f>
        <v/>
      </c>
      <c r="I214" s="199" t="str">
        <f aca="false">VLOOKUP($A214,'Institution Evaluation'!$A$56:$K$346,9,0)&amp;""</f>
        <v>Critical Importance</v>
      </c>
      <c r="J214" s="251" t="str">
        <f aca="false">VLOOKUP($A214,'Institution Evaluation'!$A$56:$K$346,10,0)&amp;""</f>
        <v/>
      </c>
      <c r="K214" s="200" t="str">
        <f aca="false">IF(VLOOKUP($A214,'Institution Evaluation'!$A$56:$K$346,10,0)=TRUE(),"Yes","")</f>
        <v/>
      </c>
    </row>
    <row r="215" customFormat="false" ht="46.25" hidden="false" customHeight="false" outlineLevel="0" collapsed="false">
      <c r="A215" s="35" t="s">
        <v>207</v>
      </c>
      <c r="B215" s="45" t="str">
        <f aca="false">VLOOKUP($A215,Questions!$A$2:$X$333,2,0)</f>
        <v>Have your systems and applications had a third-party security assessment completed in the last year?</v>
      </c>
      <c r="C215" s="199" t="str">
        <f aca="false">VLOOKUP($A215,'Institution Evaluation'!$A$56:$K$346,3,0)&amp;""</f>
        <v/>
      </c>
      <c r="D215" s="199" t="str">
        <f aca="false">VLOOKUP($A215,'Institution Evaluation'!$A$56:$K$346,4,0)&amp;""</f>
        <v>This question does not apply.</v>
      </c>
      <c r="E215" s="206" t="str">
        <f aca="false">VLOOKUP($A215,'Institution Evaluation'!$A$56:$K$346,5,0)&amp;""</f>
        <v>Based on the response to REQU-01 on the "START HERE" tab, this question does not apply to this product or service. </v>
      </c>
      <c r="F215" s="209" t="str">
        <f aca="false">VLOOKUP($A215,'Institution Evaluation'!$A$56:$K$346,6,0)&amp;""</f>
        <v/>
      </c>
      <c r="G215" s="197" t="str">
        <f aca="false">VLOOKUP($A215,'Institution Evaluation'!$A$56:$K$346,7,0)&amp;""</f>
        <v>Yes</v>
      </c>
      <c r="H215" s="198" t="str">
        <f aca="false">VLOOKUP($A215,'Institution Evaluation'!$A$56:$K$346,8,0)&amp;""</f>
        <v/>
      </c>
      <c r="I215" s="199" t="str">
        <f aca="false">VLOOKUP($A215,'Institution Evaluation'!$A$56:$K$346,9,0)&amp;""</f>
        <v>Standard Importance</v>
      </c>
      <c r="J215" s="251" t="str">
        <f aca="false">VLOOKUP($A215,'Institution Evaluation'!$A$56:$K$346,10,0)&amp;""</f>
        <v/>
      </c>
      <c r="K215" s="200" t="str">
        <f aca="false">IF(VLOOKUP($A215,'Institution Evaluation'!$A$56:$K$346,10,0)=TRUE(),"Yes","")</f>
        <v/>
      </c>
    </row>
    <row r="216" customFormat="false" ht="31.3" hidden="false" customHeight="false" outlineLevel="0" collapsed="false">
      <c r="A216" s="35" t="s">
        <v>211</v>
      </c>
      <c r="B216" s="45" t="str">
        <f aca="false">VLOOKUP($A216,Questions!$A$2:$X$333,2,0)</f>
        <v>Are your systems and applications regularly scanned externally for vulnerabilities?</v>
      </c>
      <c r="C216" s="199" t="str">
        <f aca="false">VLOOKUP($A216,'Institution Evaluation'!$A$56:$K$346,3,0)&amp;""</f>
        <v/>
      </c>
      <c r="D216" s="199" t="str">
        <f aca="false">VLOOKUP($A216,'Institution Evaluation'!$A$56:$K$346,4,0)&amp;""</f>
        <v>This question does not apply.</v>
      </c>
      <c r="E216" s="206" t="str">
        <f aca="false">VLOOKUP($A216,'Institution Evaluation'!$A$56:$K$346,5,0)&amp;""</f>
        <v>Based on the response to REQU-01 on the "START HERE" tab, this question does not apply to this product or service. </v>
      </c>
      <c r="F216" s="209" t="str">
        <f aca="false">VLOOKUP($A216,'Institution Evaluation'!$A$56:$K$346,6,0)&amp;""</f>
        <v/>
      </c>
      <c r="G216" s="197" t="str">
        <f aca="false">VLOOKUP($A216,'Institution Evaluation'!$A$56:$K$346,7,0)&amp;""</f>
        <v>Yes</v>
      </c>
      <c r="H216" s="198" t="str">
        <f aca="false">VLOOKUP($A216,'Institution Evaluation'!$A$56:$K$346,8,0)&amp;""</f>
        <v/>
      </c>
      <c r="I216" s="199" t="str">
        <f aca="false">VLOOKUP($A216,'Institution Evaluation'!$A$56:$K$346,9,0)&amp;""</f>
        <v>Minor Importance</v>
      </c>
      <c r="J216" s="251" t="str">
        <f aca="false">VLOOKUP($A216,'Institution Evaluation'!$A$56:$K$346,10,0)&amp;""</f>
        <v/>
      </c>
      <c r="K216" s="200" t="str">
        <f aca="false">IF(VLOOKUP($A216,'Institution Evaluation'!$A$56:$K$346,10,0)=TRUE(),"Yes","")</f>
        <v/>
      </c>
    </row>
    <row r="217" customFormat="false" ht="17.9" hidden="false" customHeight="false" outlineLevel="0" collapsed="false">
      <c r="A217" s="31" t="str">
        <f aca="false">VLOOKUP(LEFT($A218,4),'Auto Responses'!$N$4:$O$38,2,0)&amp;""</f>
        <v>HIPAA Compliance </v>
      </c>
      <c r="B217" s="42"/>
      <c r="C217" s="43"/>
      <c r="D217" s="43"/>
      <c r="E217" s="204"/>
      <c r="F217" s="192" t="s">
        <v>454</v>
      </c>
      <c r="G217" s="201" t="s">
        <v>449</v>
      </c>
      <c r="H217" s="201" t="s">
        <v>450</v>
      </c>
      <c r="I217" s="201" t="s">
        <v>451</v>
      </c>
      <c r="J217" s="201" t="s">
        <v>452</v>
      </c>
      <c r="K217" s="43"/>
      <c r="L217" s="1"/>
      <c r="M217" s="1"/>
      <c r="N217" s="1"/>
    </row>
    <row r="218" customFormat="false" ht="99.95" hidden="false" customHeight="false" outlineLevel="0" collapsed="false">
      <c r="A218" s="35" t="s">
        <v>254</v>
      </c>
      <c r="B218" s="45" t="str">
        <f aca="false">VLOOKUP($A218,Questions!$A$2:$X$333,2,0)</f>
        <v>Do your workforce members receive regular training related to the Health Insurance Portability and Accountability Act (HIPAA) Privacy and Security Rules and the HITECH Act?*</v>
      </c>
      <c r="C218" s="199" t="str">
        <f aca="false">VLOOKUP($A218,'Institution Evaluation'!$A$56:$K$346,3,0)&amp;""</f>
        <v/>
      </c>
      <c r="D218" s="199" t="str">
        <f aca="false">VLOOKUP($A218,'Institution Evaluation'!$A$56:$K$346,4,0)&amp;""</f>
        <v>This question does not apply.</v>
      </c>
      <c r="E218" s="206" t="str">
        <f aca="false">VLOOKUP($A218,'Institution Evaluation'!$A$56:$K$346,5,0)&amp;""</f>
        <v>Based on the response to REQU-05 on the "START HERE" tab, this question does not apply to this product or service.</v>
      </c>
      <c r="F218" s="209" t="str">
        <f aca="false">VLOOKUP($A218,'Institution Evaluation'!$A$56:$K$346,6,0)&amp;""</f>
        <v/>
      </c>
      <c r="G218" s="197" t="str">
        <f aca="false">VLOOKUP($A218,'Institution Evaluation'!$A$56:$K$346,7,0)&amp;""</f>
        <v>Yes</v>
      </c>
      <c r="H218" s="198" t="str">
        <f aca="false">VLOOKUP($A218,'Institution Evaluation'!$A$56:$K$346,8,0)&amp;""</f>
        <v/>
      </c>
      <c r="I218" s="199" t="str">
        <f aca="false">VLOOKUP($A218,'Institution Evaluation'!$A$56:$K$346,9,0)&amp;""</f>
        <v>Critical Importance</v>
      </c>
      <c r="J218" s="251" t="str">
        <f aca="false">VLOOKUP($A218,'Institution Evaluation'!$A$56:$K$346,10,0)&amp;""</f>
        <v/>
      </c>
      <c r="K218" s="200" t="str">
        <f aca="false">IF(VLOOKUP($A218,'Institution Evaluation'!$A$56:$K$346,10,0)=TRUE(),"Yes","")</f>
        <v/>
      </c>
    </row>
    <row r="219" customFormat="false" ht="99.95" hidden="false" customHeight="false" outlineLevel="0" collapsed="false">
      <c r="A219" s="35" t="s">
        <v>255</v>
      </c>
      <c r="B219" s="45" t="str">
        <f aca="false">VLOOKUP($A219,Questions!$A$2:$X$333,2,0)</f>
        <v>Have you identified areas of risk?*</v>
      </c>
      <c r="C219" s="199" t="str">
        <f aca="false">VLOOKUP($A219,'Institution Evaluation'!$A$56:$K$346,3,0)&amp;""</f>
        <v/>
      </c>
      <c r="D219" s="199" t="str">
        <f aca="false">VLOOKUP($A219,'Institution Evaluation'!$A$56:$K$346,4,0)&amp;""</f>
        <v>This question does not apply.</v>
      </c>
      <c r="E219" s="206" t="str">
        <f aca="false">VLOOKUP($A219,'Institution Evaluation'!$A$56:$K$346,5,0)&amp;""</f>
        <v>Based on the response to REQU-05 on the "START HERE" tab, this question does not apply to this product or service.</v>
      </c>
      <c r="F219" s="209" t="str">
        <f aca="false">VLOOKUP($A219,'Institution Evaluation'!$A$56:$K$346,6,0)&amp;""</f>
        <v/>
      </c>
      <c r="G219" s="197" t="str">
        <f aca="false">VLOOKUP($A219,'Institution Evaluation'!$A$56:$K$346,7,0)&amp;""</f>
        <v>Yes</v>
      </c>
      <c r="H219" s="198" t="str">
        <f aca="false">VLOOKUP($A219,'Institution Evaluation'!$A$56:$K$346,8,0)&amp;""</f>
        <v/>
      </c>
      <c r="I219" s="199" t="str">
        <f aca="false">VLOOKUP($A219,'Institution Evaluation'!$A$56:$K$346,9,0)&amp;""</f>
        <v>Critical Importance</v>
      </c>
      <c r="J219" s="251" t="str">
        <f aca="false">VLOOKUP($A219,'Institution Evaluation'!$A$56:$K$346,10,0)&amp;""</f>
        <v/>
      </c>
      <c r="K219" s="200" t="str">
        <f aca="false">IF(VLOOKUP($A219,'Institution Evaluation'!$A$56:$K$346,10,0)=TRUE(),"Yes","")</f>
        <v/>
      </c>
    </row>
    <row r="220" customFormat="false" ht="99.95" hidden="false" customHeight="false" outlineLevel="0" collapsed="false">
      <c r="A220" s="35" t="s">
        <v>256</v>
      </c>
      <c r="B220" s="45" t="str">
        <f aca="false">VLOOKUP($A220,Questions!$A$2:$X$333,2,0)</f>
        <v>Have the relevant policies/plans been tested?*</v>
      </c>
      <c r="C220" s="199" t="str">
        <f aca="false">VLOOKUP($A220,'Institution Evaluation'!$A$56:$K$346,3,0)&amp;""</f>
        <v/>
      </c>
      <c r="D220" s="199" t="str">
        <f aca="false">VLOOKUP($A220,'Institution Evaluation'!$A$56:$K$346,4,0)&amp;""</f>
        <v>This question does not apply.</v>
      </c>
      <c r="E220" s="206" t="str">
        <f aca="false">VLOOKUP($A220,'Institution Evaluation'!$A$56:$K$346,5,0)&amp;""</f>
        <v>Based on the response to REQU-05 on the "START HERE" tab, this question does not apply to this product or service.</v>
      </c>
      <c r="F220" s="209" t="str">
        <f aca="false">VLOOKUP($A220,'Institution Evaluation'!$A$56:$K$346,6,0)&amp;""</f>
        <v/>
      </c>
      <c r="G220" s="197" t="str">
        <f aca="false">VLOOKUP($A220,'Institution Evaluation'!$A$56:$K$346,7,0)&amp;""</f>
        <v>Yes</v>
      </c>
      <c r="H220" s="198" t="str">
        <f aca="false">VLOOKUP($A220,'Institution Evaluation'!$A$56:$K$346,8,0)&amp;""</f>
        <v/>
      </c>
      <c r="I220" s="199" t="str">
        <f aca="false">VLOOKUP($A220,'Institution Evaluation'!$A$56:$K$346,9,0)&amp;""</f>
        <v>Critical Importance</v>
      </c>
      <c r="J220" s="251" t="str">
        <f aca="false">VLOOKUP($A220,'Institution Evaluation'!$A$56:$K$346,10,0)&amp;""</f>
        <v/>
      </c>
      <c r="K220" s="200" t="str">
        <f aca="false">IF(VLOOKUP($A220,'Institution Evaluation'!$A$56:$K$346,10,0)=TRUE(),"Yes","")</f>
        <v/>
      </c>
    </row>
    <row r="221" customFormat="false" ht="99.95" hidden="false" customHeight="false" outlineLevel="0" collapsed="false">
      <c r="A221" s="35" t="s">
        <v>257</v>
      </c>
      <c r="B221" s="45" t="str">
        <f aca="false">VLOOKUP($A221,Questions!$A$2:$X$333,2,0)</f>
        <v>Have you entered into a Business Associate Agreements with all subcontractors who may have access to protected health information (PHI)?*</v>
      </c>
      <c r="C221" s="199" t="str">
        <f aca="false">VLOOKUP($A221,'Institution Evaluation'!$A$56:$K$346,3,0)&amp;""</f>
        <v/>
      </c>
      <c r="D221" s="199" t="str">
        <f aca="false">VLOOKUP($A221,'Institution Evaluation'!$A$56:$K$346,4,0)&amp;""</f>
        <v>This question does not apply.</v>
      </c>
      <c r="E221" s="206" t="str">
        <f aca="false">VLOOKUP($A221,'Institution Evaluation'!$A$56:$K$346,5,0)&amp;""</f>
        <v>Based on the response to REQU-05 on the "START HERE" tab, this question does not apply to this product or service.</v>
      </c>
      <c r="F221" s="209" t="str">
        <f aca="false">VLOOKUP($A221,'Institution Evaluation'!$A$56:$K$346,6,0)&amp;""</f>
        <v/>
      </c>
      <c r="G221" s="197" t="str">
        <f aca="false">VLOOKUP($A221,'Institution Evaluation'!$A$56:$K$346,7,0)&amp;""</f>
        <v>Yes</v>
      </c>
      <c r="H221" s="198" t="str">
        <f aca="false">VLOOKUP($A221,'Institution Evaluation'!$A$56:$K$346,8,0)&amp;""</f>
        <v/>
      </c>
      <c r="I221" s="199" t="str">
        <f aca="false">VLOOKUP($A221,'Institution Evaluation'!$A$56:$K$346,9,0)&amp;""</f>
        <v>Critical Importance</v>
      </c>
      <c r="J221" s="251" t="str">
        <f aca="false">VLOOKUP($A221,'Institution Evaluation'!$A$56:$K$346,10,0)&amp;""</f>
        <v/>
      </c>
      <c r="K221" s="200" t="str">
        <f aca="false">IF(VLOOKUP($A221,'Institution Evaluation'!$A$56:$K$346,10,0)=TRUE(),"Yes","")</f>
        <v/>
      </c>
    </row>
    <row r="222" customFormat="false" ht="99.95" hidden="false" customHeight="false" outlineLevel="0" collapsed="false">
      <c r="A222" s="35" t="s">
        <v>258</v>
      </c>
      <c r="B222" s="45" t="str">
        <f aca="false">VLOOKUP($A222,Questions!$A$2:$X$333,2,0)</f>
        <v>Do you monitor or receive information regarding changes in HIPAA regulations?</v>
      </c>
      <c r="C222" s="199" t="str">
        <f aca="false">VLOOKUP($A222,'Institution Evaluation'!$A$56:$K$346,3,0)&amp;""</f>
        <v/>
      </c>
      <c r="D222" s="199" t="str">
        <f aca="false">VLOOKUP($A222,'Institution Evaluation'!$A$56:$K$346,4,0)&amp;""</f>
        <v>This question does not apply.</v>
      </c>
      <c r="E222" s="206" t="str">
        <f aca="false">VLOOKUP($A222,'Institution Evaluation'!$A$56:$K$346,5,0)&amp;""</f>
        <v>Based on the response to REQU-05 on the "START HERE" tab, this question does not apply to this product or service.</v>
      </c>
      <c r="F222" s="209" t="str">
        <f aca="false">VLOOKUP($A222,'Institution Evaluation'!$A$56:$K$346,6,0)&amp;""</f>
        <v/>
      </c>
      <c r="G222" s="197" t="str">
        <f aca="false">VLOOKUP($A222,'Institution Evaluation'!$A$56:$K$346,7,0)&amp;""</f>
        <v>Yes</v>
      </c>
      <c r="H222" s="198" t="str">
        <f aca="false">VLOOKUP($A222,'Institution Evaluation'!$A$56:$K$346,8,0)&amp;""</f>
        <v/>
      </c>
      <c r="I222" s="199" t="str">
        <f aca="false">VLOOKUP($A222,'Institution Evaluation'!$A$56:$K$346,9,0)&amp;""</f>
        <v>Standard Importance</v>
      </c>
      <c r="J222" s="251" t="str">
        <f aca="false">VLOOKUP($A222,'Institution Evaluation'!$A$56:$K$346,10,0)&amp;""</f>
        <v/>
      </c>
      <c r="K222" s="200" t="str">
        <f aca="false">IF(VLOOKUP($A222,'Institution Evaluation'!$A$56:$K$346,10,0)=TRUE(),"Yes","")</f>
        <v/>
      </c>
    </row>
    <row r="223" customFormat="false" ht="99.95" hidden="false" customHeight="false" outlineLevel="0" collapsed="false">
      <c r="A223" s="35" t="s">
        <v>259</v>
      </c>
      <c r="B223" s="45" t="str">
        <f aca="false">VLOOKUP($A223,Questions!$A$2:$X$333,2,0)</f>
        <v>Has your organization designated HIPAA Privacy and Security officers as required by the rules?</v>
      </c>
      <c r="C223" s="199" t="str">
        <f aca="false">VLOOKUP($A223,'Institution Evaluation'!$A$56:$K$346,3,0)&amp;""</f>
        <v/>
      </c>
      <c r="D223" s="199" t="str">
        <f aca="false">VLOOKUP($A223,'Institution Evaluation'!$A$56:$K$346,4,0)&amp;""</f>
        <v>This question does not apply.</v>
      </c>
      <c r="E223" s="206" t="str">
        <f aca="false">VLOOKUP($A223,'Institution Evaluation'!$A$56:$K$346,5,0)&amp;""</f>
        <v>Based on the response to REQU-05 on the "START HERE" tab, this question does not apply to this product or service.</v>
      </c>
      <c r="F223" s="209" t="str">
        <f aca="false">VLOOKUP($A223,'Institution Evaluation'!$A$56:$K$346,6,0)&amp;""</f>
        <v/>
      </c>
      <c r="G223" s="197" t="str">
        <f aca="false">VLOOKUP($A223,'Institution Evaluation'!$A$56:$K$346,7,0)&amp;""</f>
        <v>Yes</v>
      </c>
      <c r="H223" s="198" t="str">
        <f aca="false">VLOOKUP($A223,'Institution Evaluation'!$A$56:$K$346,8,0)&amp;""</f>
        <v/>
      </c>
      <c r="I223" s="199" t="str">
        <f aca="false">VLOOKUP($A223,'Institution Evaluation'!$A$56:$K$346,9,0)&amp;""</f>
        <v>Standard Importance</v>
      </c>
      <c r="J223" s="251" t="str">
        <f aca="false">VLOOKUP($A223,'Institution Evaluation'!$A$56:$K$346,10,0)&amp;""</f>
        <v/>
      </c>
      <c r="K223" s="200" t="str">
        <f aca="false">IF(VLOOKUP($A223,'Institution Evaluation'!$A$56:$K$346,10,0)=TRUE(),"Yes","")</f>
        <v/>
      </c>
    </row>
    <row r="224" customFormat="false" ht="99.95" hidden="false" customHeight="false" outlineLevel="0" collapsed="false">
      <c r="A224" s="35" t="s">
        <v>260</v>
      </c>
      <c r="B224" s="45" t="str">
        <f aca="false">VLOOKUP($A224,Questions!$A$2:$X$333,2,0)</f>
        <v>Do you comply with the requirements of the Health Information Technology for Economic and Clinical Health Act (HITECH)?</v>
      </c>
      <c r="C224" s="199" t="str">
        <f aca="false">VLOOKUP($A224,'Institution Evaluation'!$A$56:$K$346,3,0)&amp;""</f>
        <v/>
      </c>
      <c r="D224" s="199" t="str">
        <f aca="false">VLOOKUP($A224,'Institution Evaluation'!$A$56:$K$346,4,0)&amp;""</f>
        <v>This question does not apply.</v>
      </c>
      <c r="E224" s="206" t="str">
        <f aca="false">VLOOKUP($A224,'Institution Evaluation'!$A$56:$K$346,5,0)&amp;""</f>
        <v>Based on the response to REQU-05 on the "START HERE" tab, this question does not apply to this product or service.</v>
      </c>
      <c r="F224" s="209" t="str">
        <f aca="false">VLOOKUP($A224,'Institution Evaluation'!$A$56:$K$346,6,0)&amp;""</f>
        <v/>
      </c>
      <c r="G224" s="197" t="str">
        <f aca="false">VLOOKUP($A224,'Institution Evaluation'!$A$56:$K$346,7,0)&amp;""</f>
        <v>Yes</v>
      </c>
      <c r="H224" s="198" t="str">
        <f aca="false">VLOOKUP($A224,'Institution Evaluation'!$A$56:$K$346,8,0)&amp;""</f>
        <v/>
      </c>
      <c r="I224" s="199" t="str">
        <f aca="false">VLOOKUP($A224,'Institution Evaluation'!$A$56:$K$346,9,0)&amp;""</f>
        <v>Standard Importance</v>
      </c>
      <c r="J224" s="251" t="str">
        <f aca="false">VLOOKUP($A224,'Institution Evaluation'!$A$56:$K$346,10,0)&amp;""</f>
        <v/>
      </c>
      <c r="K224" s="200" t="str">
        <f aca="false">IF(VLOOKUP($A224,'Institution Evaluation'!$A$56:$K$346,10,0)=TRUE(),"Yes","")</f>
        <v/>
      </c>
    </row>
    <row r="225" customFormat="false" ht="99.95" hidden="false" customHeight="false" outlineLevel="0" collapsed="false">
      <c r="A225" s="35" t="s">
        <v>261</v>
      </c>
      <c r="B225" s="45" t="str">
        <f aca="false">VLOOKUP($A225,Questions!$A$2:$X$333,2,0)</f>
        <v>Have you conducted a risk analysis as required under the HIPAA Security Rule?</v>
      </c>
      <c r="C225" s="199" t="str">
        <f aca="false">VLOOKUP($A225,'Institution Evaluation'!$A$56:$K$346,3,0)&amp;""</f>
        <v/>
      </c>
      <c r="D225" s="199" t="str">
        <f aca="false">VLOOKUP($A225,'Institution Evaluation'!$A$56:$K$346,4,0)&amp;""</f>
        <v>This question does not apply.</v>
      </c>
      <c r="E225" s="206" t="str">
        <f aca="false">VLOOKUP($A225,'Institution Evaluation'!$A$56:$K$346,5,0)&amp;""</f>
        <v>Based on the response to REQU-05 on the "START HERE" tab, this question does not apply to this product or service.</v>
      </c>
      <c r="F225" s="209" t="str">
        <f aca="false">VLOOKUP($A225,'Institution Evaluation'!$A$56:$K$346,6,0)&amp;""</f>
        <v/>
      </c>
      <c r="G225" s="197" t="str">
        <f aca="false">VLOOKUP($A225,'Institution Evaluation'!$A$56:$K$346,7,0)&amp;""</f>
        <v>Yes</v>
      </c>
      <c r="H225" s="198" t="str">
        <f aca="false">VLOOKUP($A225,'Institution Evaluation'!$A$56:$K$346,8,0)&amp;""</f>
        <v/>
      </c>
      <c r="I225" s="199" t="str">
        <f aca="false">VLOOKUP($A225,'Institution Evaluation'!$A$56:$K$346,9,0)&amp;""</f>
        <v>Standard Importance</v>
      </c>
      <c r="J225" s="251" t="str">
        <f aca="false">VLOOKUP($A225,'Institution Evaluation'!$A$56:$K$346,10,0)&amp;""</f>
        <v/>
      </c>
      <c r="K225" s="200" t="str">
        <f aca="false">IF(VLOOKUP($A225,'Institution Evaluation'!$A$56:$K$346,10,0)=TRUE(),"Yes","")</f>
        <v/>
      </c>
    </row>
    <row r="226" customFormat="false" ht="99.95" hidden="false" customHeight="false" outlineLevel="0" collapsed="false">
      <c r="A226" s="35" t="s">
        <v>262</v>
      </c>
      <c r="B226" s="45" t="str">
        <f aca="false">VLOOKUP($A226,Questions!$A$2:$X$333,2,0)</f>
        <v>Have you taken actions to mitigate the identified risks?</v>
      </c>
      <c r="C226" s="199" t="str">
        <f aca="false">VLOOKUP($A226,'Institution Evaluation'!$A$56:$K$346,3,0)&amp;""</f>
        <v/>
      </c>
      <c r="D226" s="199" t="str">
        <f aca="false">VLOOKUP($A226,'Institution Evaluation'!$A$56:$K$346,4,0)&amp;""</f>
        <v>This question does not apply.</v>
      </c>
      <c r="E226" s="206" t="str">
        <f aca="false">VLOOKUP($A226,'Institution Evaluation'!$A$56:$K$346,5,0)&amp;""</f>
        <v>Based on the response to REQU-05 on the "START HERE" tab, this question does not apply to this product or service.</v>
      </c>
      <c r="F226" s="209" t="str">
        <f aca="false">VLOOKUP($A226,'Institution Evaluation'!$A$56:$K$346,6,0)&amp;""</f>
        <v/>
      </c>
      <c r="G226" s="197" t="str">
        <f aca="false">VLOOKUP($A226,'Institution Evaluation'!$A$56:$K$346,7,0)&amp;""</f>
        <v>Yes</v>
      </c>
      <c r="H226" s="198" t="str">
        <f aca="false">VLOOKUP($A226,'Institution Evaluation'!$A$56:$K$346,8,0)&amp;""</f>
        <v/>
      </c>
      <c r="I226" s="199" t="str">
        <f aca="false">VLOOKUP($A226,'Institution Evaluation'!$A$56:$K$346,9,0)&amp;""</f>
        <v>Standard Importance</v>
      </c>
      <c r="J226" s="251" t="str">
        <f aca="false">VLOOKUP($A226,'Institution Evaluation'!$A$56:$K$346,10,0)&amp;""</f>
        <v/>
      </c>
      <c r="K226" s="200" t="str">
        <f aca="false">IF(VLOOKUP($A226,'Institution Evaluation'!$A$56:$K$346,10,0)=TRUE(),"Yes","")</f>
        <v/>
      </c>
    </row>
    <row r="227" customFormat="false" ht="99.95" hidden="false" customHeight="false" outlineLevel="0" collapsed="false">
      <c r="A227" s="35" t="s">
        <v>263</v>
      </c>
      <c r="B227" s="45" t="str">
        <f aca="false">VLOOKUP($A227,Questions!$A$2:$X$333,2,0)</f>
        <v>Does your application require user and system administrator password changes at a frequency no greater than 90 days?</v>
      </c>
      <c r="C227" s="199" t="str">
        <f aca="false">VLOOKUP($A227,'Institution Evaluation'!$A$56:$K$346,3,0)&amp;""</f>
        <v/>
      </c>
      <c r="D227" s="199" t="str">
        <f aca="false">VLOOKUP($A227,'Institution Evaluation'!$A$56:$K$346,4,0)&amp;""</f>
        <v>This question does not apply.</v>
      </c>
      <c r="E227" s="206" t="str">
        <f aca="false">VLOOKUP($A227,'Institution Evaluation'!$A$56:$K$346,5,0)&amp;""</f>
        <v>Based on the response to REQU-05 on the "START HERE" tab, this question does not apply to this product or service.</v>
      </c>
      <c r="F227" s="209" t="str">
        <f aca="false">VLOOKUP($A227,'Institution Evaluation'!$A$56:$K$346,6,0)&amp;""</f>
        <v/>
      </c>
      <c r="G227" s="197" t="str">
        <f aca="false">VLOOKUP($A227,'Institution Evaluation'!$A$56:$K$346,7,0)&amp;""</f>
        <v>Yes</v>
      </c>
      <c r="H227" s="198" t="str">
        <f aca="false">VLOOKUP($A227,'Institution Evaluation'!$A$56:$K$346,8,0)&amp;""</f>
        <v/>
      </c>
      <c r="I227" s="199" t="str">
        <f aca="false">VLOOKUP($A227,'Institution Evaluation'!$A$56:$K$346,9,0)&amp;""</f>
        <v>Standard Importance</v>
      </c>
      <c r="J227" s="251" t="str">
        <f aca="false">VLOOKUP($A227,'Institution Evaluation'!$A$56:$K$346,10,0)&amp;""</f>
        <v/>
      </c>
      <c r="K227" s="200" t="str">
        <f aca="false">IF(VLOOKUP($A227,'Institution Evaluation'!$A$56:$K$346,10,0)=TRUE(),"Yes","")</f>
        <v/>
      </c>
    </row>
    <row r="228" customFormat="false" ht="99.95" hidden="false" customHeight="false" outlineLevel="0" collapsed="false">
      <c r="A228" s="35" t="s">
        <v>264</v>
      </c>
      <c r="B228" s="45" t="str">
        <f aca="false">VLOOKUP($A228,Questions!$A$2:$X$333,2,0)</f>
        <v>Does your application require users to set their own password after an administrator reset or on first use of the account?</v>
      </c>
      <c r="C228" s="199" t="str">
        <f aca="false">VLOOKUP($A228,'Institution Evaluation'!$A$56:$K$346,3,0)&amp;""</f>
        <v/>
      </c>
      <c r="D228" s="199" t="str">
        <f aca="false">VLOOKUP($A228,'Institution Evaluation'!$A$56:$K$346,4,0)&amp;""</f>
        <v>This question does not apply.</v>
      </c>
      <c r="E228" s="206" t="str">
        <f aca="false">VLOOKUP($A228,'Institution Evaluation'!$A$56:$K$346,5,0)&amp;""</f>
        <v>Based on the response to REQU-05 on the "START HERE" tab, this question does not apply to this product or service.</v>
      </c>
      <c r="F228" s="209" t="str">
        <f aca="false">VLOOKUP($A228,'Institution Evaluation'!$A$56:$K$346,6,0)&amp;""</f>
        <v/>
      </c>
      <c r="G228" s="197" t="str">
        <f aca="false">VLOOKUP($A228,'Institution Evaluation'!$A$56:$K$346,7,0)&amp;""</f>
        <v>Yes</v>
      </c>
      <c r="H228" s="198" t="str">
        <f aca="false">VLOOKUP($A228,'Institution Evaluation'!$A$56:$K$346,8,0)&amp;""</f>
        <v/>
      </c>
      <c r="I228" s="199" t="str">
        <f aca="false">VLOOKUP($A228,'Institution Evaluation'!$A$56:$K$346,9,0)&amp;""</f>
        <v>Standard Importance</v>
      </c>
      <c r="J228" s="251" t="str">
        <f aca="false">VLOOKUP($A228,'Institution Evaluation'!$A$56:$K$346,10,0)&amp;""</f>
        <v/>
      </c>
      <c r="K228" s="200" t="str">
        <f aca="false">IF(VLOOKUP($A228,'Institution Evaluation'!$A$56:$K$346,10,0)=TRUE(),"Yes","")</f>
        <v/>
      </c>
    </row>
    <row r="229" customFormat="false" ht="99.95" hidden="false" customHeight="false" outlineLevel="0" collapsed="false">
      <c r="A229" s="35" t="s">
        <v>265</v>
      </c>
      <c r="B229" s="45" t="str">
        <f aca="false">VLOOKUP($A229,Questions!$A$2:$X$333,2,0)</f>
        <v>Does your application lock out an account after a number of failed login attempts?</v>
      </c>
      <c r="C229" s="199" t="str">
        <f aca="false">VLOOKUP($A229,'Institution Evaluation'!$A$56:$K$346,3,0)&amp;""</f>
        <v/>
      </c>
      <c r="D229" s="199" t="str">
        <f aca="false">VLOOKUP($A229,'Institution Evaluation'!$A$56:$K$346,4,0)&amp;""</f>
        <v>This question does not apply.</v>
      </c>
      <c r="E229" s="206" t="str">
        <f aca="false">VLOOKUP($A229,'Institution Evaluation'!$A$56:$K$346,5,0)&amp;""</f>
        <v>Based on the response to REQU-05 on the "START HERE" tab, this question does not apply to this product or service.</v>
      </c>
      <c r="F229" s="209" t="str">
        <f aca="false">VLOOKUP($A229,'Institution Evaluation'!$A$56:$K$346,6,0)&amp;""</f>
        <v/>
      </c>
      <c r="G229" s="197" t="str">
        <f aca="false">VLOOKUP($A229,'Institution Evaluation'!$A$56:$K$346,7,0)&amp;""</f>
        <v>Yes</v>
      </c>
      <c r="H229" s="198" t="str">
        <f aca="false">VLOOKUP($A229,'Institution Evaluation'!$A$56:$K$346,8,0)&amp;""</f>
        <v/>
      </c>
      <c r="I229" s="199" t="str">
        <f aca="false">VLOOKUP($A229,'Institution Evaluation'!$A$56:$K$346,9,0)&amp;""</f>
        <v>Standard Importance</v>
      </c>
      <c r="J229" s="251" t="str">
        <f aca="false">VLOOKUP($A229,'Institution Evaluation'!$A$56:$K$346,10,0)&amp;""</f>
        <v/>
      </c>
      <c r="K229" s="200" t="str">
        <f aca="false">IF(VLOOKUP($A229,'Institution Evaluation'!$A$56:$K$346,10,0)=TRUE(),"Yes","")</f>
        <v/>
      </c>
    </row>
    <row r="230" customFormat="false" ht="99.95" hidden="false" customHeight="false" outlineLevel="0" collapsed="false">
      <c r="A230" s="35" t="s">
        <v>266</v>
      </c>
      <c r="B230" s="45" t="str">
        <f aca="false">VLOOKUP($A230,Questions!$A$2:$X$333,2,0)</f>
        <v>Does your application automatically lock or log-out an account after a period of inactivity?</v>
      </c>
      <c r="C230" s="199" t="str">
        <f aca="false">VLOOKUP($A230,'Institution Evaluation'!$A$56:$K$346,3,0)&amp;""</f>
        <v/>
      </c>
      <c r="D230" s="199" t="str">
        <f aca="false">VLOOKUP($A230,'Institution Evaluation'!$A$56:$K$346,4,0)&amp;""</f>
        <v>This question does not apply.</v>
      </c>
      <c r="E230" s="206" t="str">
        <f aca="false">VLOOKUP($A230,'Institution Evaluation'!$A$56:$K$346,5,0)&amp;""</f>
        <v>Based on the response to REQU-05 on the "START HERE" tab, this question does not apply to this product or service.</v>
      </c>
      <c r="F230" s="209" t="str">
        <f aca="false">VLOOKUP($A230,'Institution Evaluation'!$A$56:$K$346,6,0)&amp;""</f>
        <v/>
      </c>
      <c r="G230" s="197" t="str">
        <f aca="false">VLOOKUP($A230,'Institution Evaluation'!$A$56:$K$346,7,0)&amp;""</f>
        <v>Yes</v>
      </c>
      <c r="H230" s="198" t="str">
        <f aca="false">VLOOKUP($A230,'Institution Evaluation'!$A$56:$K$346,8,0)&amp;""</f>
        <v/>
      </c>
      <c r="I230" s="199" t="str">
        <f aca="false">VLOOKUP($A230,'Institution Evaluation'!$A$56:$K$346,9,0)&amp;""</f>
        <v>Standard Importance</v>
      </c>
      <c r="J230" s="251" t="str">
        <f aca="false">VLOOKUP($A230,'Institution Evaluation'!$A$56:$K$346,10,0)&amp;""</f>
        <v/>
      </c>
      <c r="K230" s="200" t="str">
        <f aca="false">IF(VLOOKUP($A230,'Institution Evaluation'!$A$56:$K$346,10,0)=TRUE(),"Yes","")</f>
        <v/>
      </c>
    </row>
    <row r="231" customFormat="false" ht="99.95" hidden="false" customHeight="false" outlineLevel="0" collapsed="false">
      <c r="A231" s="35" t="s">
        <v>267</v>
      </c>
      <c r="B231" s="45" t="str">
        <f aca="false">VLOOKUP($A231,Questions!$A$2:$X$333,2,0)</f>
        <v>Are passwords visible in plain text, whether when stored or entered, including service level accounts (i.e., database accounts, etc.)?</v>
      </c>
      <c r="C231" s="199" t="str">
        <f aca="false">VLOOKUP($A231,'Institution Evaluation'!$A$56:$K$346,3,0)&amp;""</f>
        <v/>
      </c>
      <c r="D231" s="199" t="str">
        <f aca="false">VLOOKUP($A231,'Institution Evaluation'!$A$56:$K$346,4,0)&amp;""</f>
        <v>This question does not apply.</v>
      </c>
      <c r="E231" s="206" t="str">
        <f aca="false">VLOOKUP($A231,'Institution Evaluation'!$A$56:$K$346,5,0)&amp;""</f>
        <v>Based on the response to REQU-05 on the "START HERE" tab, this question does not apply to this product or service.</v>
      </c>
      <c r="F231" s="209" t="str">
        <f aca="false">VLOOKUP($A231,'Institution Evaluation'!$A$56:$K$346,6,0)&amp;""</f>
        <v/>
      </c>
      <c r="G231" s="197" t="str">
        <f aca="false">VLOOKUP($A231,'Institution Evaluation'!$A$56:$K$346,7,0)&amp;""</f>
        <v>No</v>
      </c>
      <c r="H231" s="198" t="str">
        <f aca="false">VLOOKUP($A231,'Institution Evaluation'!$A$56:$K$346,8,0)&amp;""</f>
        <v/>
      </c>
      <c r="I231" s="199" t="str">
        <f aca="false">VLOOKUP($A231,'Institution Evaluation'!$A$56:$K$346,9,0)&amp;""</f>
        <v>Standard Importance</v>
      </c>
      <c r="J231" s="251" t="str">
        <f aca="false">VLOOKUP($A231,'Institution Evaluation'!$A$56:$K$346,10,0)&amp;""</f>
        <v/>
      </c>
      <c r="K231" s="200" t="str">
        <f aca="false">IF(VLOOKUP($A231,'Institution Evaluation'!$A$56:$K$346,10,0)=TRUE(),"Yes","")</f>
        <v/>
      </c>
    </row>
    <row r="232" customFormat="false" ht="99.95" hidden="false" customHeight="false" outlineLevel="0" collapsed="false">
      <c r="A232" s="35" t="s">
        <v>268</v>
      </c>
      <c r="B232" s="45" t="str">
        <f aca="false">VLOOKUP($A232,Questions!$A$2:$X$333,2,0)</f>
        <v>If the application is institution-hosted, can all service level and administrative account passwords be changed by the institution?</v>
      </c>
      <c r="C232" s="199" t="str">
        <f aca="false">VLOOKUP($A232,'Institution Evaluation'!$A$56:$K$346,3,0)&amp;""</f>
        <v/>
      </c>
      <c r="D232" s="199" t="str">
        <f aca="false">VLOOKUP($A232,'Institution Evaluation'!$A$56:$K$346,4,0)&amp;""</f>
        <v>This question does not apply.</v>
      </c>
      <c r="E232" s="206" t="str">
        <f aca="false">VLOOKUP($A232,'Institution Evaluation'!$A$56:$K$346,5,0)&amp;""</f>
        <v>Based on the response to REQU-05 on the "START HERE" tab, this question does not apply to this product or service.</v>
      </c>
      <c r="F232" s="209" t="str">
        <f aca="false">VLOOKUP($A232,'Institution Evaluation'!$A$56:$K$346,6,0)&amp;""</f>
        <v/>
      </c>
      <c r="G232" s="197" t="str">
        <f aca="false">VLOOKUP($A232,'Institution Evaluation'!$A$56:$K$346,7,0)&amp;""</f>
        <v>Yes</v>
      </c>
      <c r="H232" s="198" t="str">
        <f aca="false">VLOOKUP($A232,'Institution Evaluation'!$A$56:$K$346,8,0)&amp;""</f>
        <v/>
      </c>
      <c r="I232" s="199" t="str">
        <f aca="false">VLOOKUP($A232,'Institution Evaluation'!$A$56:$K$346,9,0)&amp;""</f>
        <v>Standard Importance</v>
      </c>
      <c r="J232" s="251" t="str">
        <f aca="false">VLOOKUP($A232,'Institution Evaluation'!$A$56:$K$346,10,0)&amp;""</f>
        <v/>
      </c>
      <c r="K232" s="200" t="str">
        <f aca="false">IF(VLOOKUP($A232,'Institution Evaluation'!$A$56:$K$346,10,0)=TRUE(),"Yes","")</f>
        <v/>
      </c>
    </row>
    <row r="233" customFormat="false" ht="99.95" hidden="false" customHeight="false" outlineLevel="0" collapsed="false">
      <c r="A233" s="35" t="s">
        <v>269</v>
      </c>
      <c r="B233" s="45" t="str">
        <f aca="false">VLOOKUP($A233,Questions!$A$2:$X$333,2,0)</f>
        <v>Does your application provide the ability to define user access levels?</v>
      </c>
      <c r="C233" s="199" t="str">
        <f aca="false">VLOOKUP($A233,'Institution Evaluation'!$A$56:$K$346,3,0)&amp;""</f>
        <v/>
      </c>
      <c r="D233" s="199" t="str">
        <f aca="false">VLOOKUP($A233,'Institution Evaluation'!$A$56:$K$346,4,0)&amp;""</f>
        <v>This question does not apply.</v>
      </c>
      <c r="E233" s="206" t="str">
        <f aca="false">VLOOKUP($A233,'Institution Evaluation'!$A$56:$K$346,5,0)&amp;""</f>
        <v>Based on the response to REQU-05 on the "START HERE" tab, this question does not apply to this product or service.</v>
      </c>
      <c r="F233" s="209" t="str">
        <f aca="false">VLOOKUP($A233,'Institution Evaluation'!$A$56:$K$346,6,0)&amp;""</f>
        <v/>
      </c>
      <c r="G233" s="197" t="str">
        <f aca="false">VLOOKUP($A233,'Institution Evaluation'!$A$56:$K$346,7,0)&amp;""</f>
        <v>Yes</v>
      </c>
      <c r="H233" s="198" t="str">
        <f aca="false">VLOOKUP($A233,'Institution Evaluation'!$A$56:$K$346,8,0)&amp;""</f>
        <v/>
      </c>
      <c r="I233" s="199" t="str">
        <f aca="false">VLOOKUP($A233,'Institution Evaluation'!$A$56:$K$346,9,0)&amp;""</f>
        <v>Standard Importance</v>
      </c>
      <c r="J233" s="251" t="str">
        <f aca="false">VLOOKUP($A233,'Institution Evaluation'!$A$56:$K$346,10,0)&amp;""</f>
        <v/>
      </c>
      <c r="K233" s="200" t="str">
        <f aca="false">IF(VLOOKUP($A233,'Institution Evaluation'!$A$56:$K$346,10,0)=TRUE(),"Yes","")</f>
        <v/>
      </c>
    </row>
    <row r="234" customFormat="false" ht="99.95" hidden="false" customHeight="false" outlineLevel="0" collapsed="false">
      <c r="A234" s="35" t="s">
        <v>270</v>
      </c>
      <c r="B234" s="45" t="str">
        <f aca="false">VLOOKUP($A234,Questions!$A$2:$X$333,2,0)</f>
        <v>Does your application support varying levels of access to administrative tasks defined individually per user?</v>
      </c>
      <c r="C234" s="199" t="str">
        <f aca="false">VLOOKUP($A234,'Institution Evaluation'!$A$56:$K$346,3,0)&amp;""</f>
        <v/>
      </c>
      <c r="D234" s="199" t="str">
        <f aca="false">VLOOKUP($A234,'Institution Evaluation'!$A$56:$K$346,4,0)&amp;""</f>
        <v>This question does not apply.</v>
      </c>
      <c r="E234" s="206" t="str">
        <f aca="false">VLOOKUP($A234,'Institution Evaluation'!$A$56:$K$346,5,0)&amp;""</f>
        <v>Based on the response to REQU-05 on the "START HERE" tab, this question does not apply to this product or service.</v>
      </c>
      <c r="F234" s="209" t="str">
        <f aca="false">VLOOKUP($A234,'Institution Evaluation'!$A$56:$K$346,6,0)&amp;""</f>
        <v/>
      </c>
      <c r="G234" s="197" t="str">
        <f aca="false">VLOOKUP($A234,'Institution Evaluation'!$A$56:$K$346,7,0)&amp;""</f>
        <v>Yes</v>
      </c>
      <c r="H234" s="198" t="str">
        <f aca="false">VLOOKUP($A234,'Institution Evaluation'!$A$56:$K$346,8,0)&amp;""</f>
        <v/>
      </c>
      <c r="I234" s="199" t="str">
        <f aca="false">VLOOKUP($A234,'Institution Evaluation'!$A$56:$K$346,9,0)&amp;""</f>
        <v>Standard Importance</v>
      </c>
      <c r="J234" s="251" t="str">
        <f aca="false">VLOOKUP($A234,'Institution Evaluation'!$A$56:$K$346,10,0)&amp;""</f>
        <v/>
      </c>
      <c r="K234" s="200" t="str">
        <f aca="false">IF(VLOOKUP($A234,'Institution Evaluation'!$A$56:$K$346,10,0)=TRUE(),"Yes","")</f>
        <v/>
      </c>
    </row>
    <row r="235" customFormat="false" ht="99.95" hidden="false" customHeight="false" outlineLevel="0" collapsed="false">
      <c r="A235" s="35" t="s">
        <v>271</v>
      </c>
      <c r="B235" s="45" t="str">
        <f aca="false">VLOOKUP($A235,Questions!$A$2:$X$333,2,0)</f>
        <v>Does your application support varying levels of access to records based on user ID?</v>
      </c>
      <c r="C235" s="199" t="str">
        <f aca="false">VLOOKUP($A235,'Institution Evaluation'!$A$56:$K$346,3,0)&amp;""</f>
        <v/>
      </c>
      <c r="D235" s="199" t="str">
        <f aca="false">VLOOKUP($A235,'Institution Evaluation'!$A$56:$K$346,4,0)&amp;""</f>
        <v>This question does not apply.</v>
      </c>
      <c r="E235" s="206" t="str">
        <f aca="false">VLOOKUP($A235,'Institution Evaluation'!$A$56:$K$346,5,0)&amp;""</f>
        <v>Based on the response to REQU-05 on the "START HERE" tab, this question does not apply to this product or service.</v>
      </c>
      <c r="F235" s="209" t="str">
        <f aca="false">VLOOKUP($A235,'Institution Evaluation'!$A$56:$K$346,6,0)&amp;""</f>
        <v/>
      </c>
      <c r="G235" s="197" t="str">
        <f aca="false">VLOOKUP($A235,'Institution Evaluation'!$A$56:$K$346,7,0)&amp;""</f>
        <v>No</v>
      </c>
      <c r="H235" s="198" t="str">
        <f aca="false">VLOOKUP($A235,'Institution Evaluation'!$A$56:$K$346,8,0)&amp;""</f>
        <v/>
      </c>
      <c r="I235" s="199" t="str">
        <f aca="false">VLOOKUP($A235,'Institution Evaluation'!$A$56:$K$346,9,0)&amp;""</f>
        <v>Standard Importance</v>
      </c>
      <c r="J235" s="251" t="str">
        <f aca="false">VLOOKUP($A235,'Institution Evaluation'!$A$56:$K$346,10,0)&amp;""</f>
        <v/>
      </c>
      <c r="K235" s="200" t="str">
        <f aca="false">IF(VLOOKUP($A235,'Institution Evaluation'!$A$56:$K$346,10,0)=TRUE(),"Yes","")</f>
        <v/>
      </c>
    </row>
    <row r="236" customFormat="false" ht="99.95" hidden="false" customHeight="false" outlineLevel="0" collapsed="false">
      <c r="A236" s="35" t="s">
        <v>272</v>
      </c>
      <c r="B236" s="45" t="str">
        <f aca="false">VLOOKUP($A236,Questions!$A$2:$X$333,2,0)</f>
        <v>Is there a limit to the number of groups to which a user can be assigned?</v>
      </c>
      <c r="C236" s="199" t="str">
        <f aca="false">VLOOKUP($A236,'Institution Evaluation'!$A$56:$K$346,3,0)&amp;""</f>
        <v/>
      </c>
      <c r="D236" s="199" t="str">
        <f aca="false">VLOOKUP($A236,'Institution Evaluation'!$A$56:$K$346,4,0)&amp;""</f>
        <v>This question does not apply.</v>
      </c>
      <c r="E236" s="206" t="str">
        <f aca="false">VLOOKUP($A236,'Institution Evaluation'!$A$56:$K$346,5,0)&amp;""</f>
        <v>Based on the response to REQU-05 on the "START HERE" tab, this question does not apply to this product or service.</v>
      </c>
      <c r="F236" s="209" t="str">
        <f aca="false">VLOOKUP($A236,'Institution Evaluation'!$A$56:$K$346,6,0)&amp;""</f>
        <v/>
      </c>
      <c r="G236" s="197" t="str">
        <f aca="false">VLOOKUP($A236,'Institution Evaluation'!$A$56:$K$346,7,0)&amp;""</f>
        <v>Yes</v>
      </c>
      <c r="H236" s="198" t="str">
        <f aca="false">VLOOKUP($A236,'Institution Evaluation'!$A$56:$K$346,8,0)&amp;""</f>
        <v/>
      </c>
      <c r="I236" s="199" t="str">
        <f aca="false">VLOOKUP($A236,'Institution Evaluation'!$A$56:$K$346,9,0)&amp;""</f>
        <v>Standard Importance</v>
      </c>
      <c r="J236" s="251" t="str">
        <f aca="false">VLOOKUP($A236,'Institution Evaluation'!$A$56:$K$346,10,0)&amp;""</f>
        <v/>
      </c>
      <c r="K236" s="200" t="str">
        <f aca="false">IF(VLOOKUP($A236,'Institution Evaluation'!$A$56:$K$346,10,0)=TRUE(),"Yes","")</f>
        <v/>
      </c>
    </row>
    <row r="237" customFormat="false" ht="99.95" hidden="false" customHeight="false" outlineLevel="0" collapsed="false">
      <c r="A237" s="35" t="s">
        <v>273</v>
      </c>
      <c r="B237" s="45" t="str">
        <f aca="false">VLOOKUP($A237,Questions!$A$2:$X$333,2,0)</f>
        <v>Do accounts used for solution provider-supplied remote support abide by the same authentication policies and access logging as the rest of the system?</v>
      </c>
      <c r="C237" s="199" t="str">
        <f aca="false">VLOOKUP($A237,'Institution Evaluation'!$A$56:$K$346,3,0)&amp;""</f>
        <v/>
      </c>
      <c r="D237" s="199" t="str">
        <f aca="false">VLOOKUP($A237,'Institution Evaluation'!$A$56:$K$346,4,0)&amp;""</f>
        <v>This question does not apply.</v>
      </c>
      <c r="E237" s="206" t="str">
        <f aca="false">VLOOKUP($A237,'Institution Evaluation'!$A$56:$K$346,5,0)&amp;""</f>
        <v>Based on the response to REQU-05 on the "START HERE" tab, this question does not apply to this product or service.</v>
      </c>
      <c r="F237" s="209" t="str">
        <f aca="false">VLOOKUP($A237,'Institution Evaluation'!$A$56:$K$346,6,0)&amp;""</f>
        <v/>
      </c>
      <c r="G237" s="197" t="str">
        <f aca="false">VLOOKUP($A237,'Institution Evaluation'!$A$56:$K$346,7,0)&amp;""</f>
        <v>Yes</v>
      </c>
      <c r="H237" s="198" t="str">
        <f aca="false">VLOOKUP($A237,'Institution Evaluation'!$A$56:$K$346,8,0)&amp;""</f>
        <v/>
      </c>
      <c r="I237" s="199" t="str">
        <f aca="false">VLOOKUP($A237,'Institution Evaluation'!$A$56:$K$346,9,0)&amp;""</f>
        <v>Standard Importance</v>
      </c>
      <c r="J237" s="251" t="str">
        <f aca="false">VLOOKUP($A237,'Institution Evaluation'!$A$56:$K$346,10,0)&amp;""</f>
        <v/>
      </c>
      <c r="K237" s="200" t="str">
        <f aca="false">IF(VLOOKUP($A237,'Institution Evaluation'!$A$56:$K$346,10,0)=TRUE(),"Yes","")</f>
        <v/>
      </c>
    </row>
    <row r="238" customFormat="false" ht="99.95" hidden="false" customHeight="false" outlineLevel="0" collapsed="false">
      <c r="A238" s="35" t="s">
        <v>274</v>
      </c>
      <c r="B238" s="45" t="str">
        <f aca="false">VLOOKUP($A238,Questions!$A$2:$X$333,2,0)</f>
        <v>Does the application log record access including specific user, date/time of access, and originating IP or device?</v>
      </c>
      <c r="C238" s="199" t="str">
        <f aca="false">VLOOKUP($A238,'Institution Evaluation'!$A$56:$K$346,3,0)&amp;""</f>
        <v/>
      </c>
      <c r="D238" s="199" t="str">
        <f aca="false">VLOOKUP($A238,'Institution Evaluation'!$A$56:$K$346,4,0)&amp;""</f>
        <v>This question does not apply.</v>
      </c>
      <c r="E238" s="206" t="str">
        <f aca="false">VLOOKUP($A238,'Institution Evaluation'!$A$56:$K$346,5,0)&amp;""</f>
        <v>Based on the response to REQU-05 on the "START HERE" tab, this question does not apply to this product or service.</v>
      </c>
      <c r="F238" s="209" t="str">
        <f aca="false">VLOOKUP($A238,'Institution Evaluation'!$A$56:$K$346,6,0)&amp;""</f>
        <v/>
      </c>
      <c r="G238" s="197" t="str">
        <f aca="false">VLOOKUP($A238,'Institution Evaluation'!$A$56:$K$346,7,0)&amp;""</f>
        <v>Yes</v>
      </c>
      <c r="H238" s="198" t="str">
        <f aca="false">VLOOKUP($A238,'Institution Evaluation'!$A$56:$K$346,8,0)&amp;""</f>
        <v/>
      </c>
      <c r="I238" s="199" t="str">
        <f aca="false">VLOOKUP($A238,'Institution Evaluation'!$A$56:$K$346,9,0)&amp;""</f>
        <v>Standard Importance</v>
      </c>
      <c r="J238" s="251" t="str">
        <f aca="false">VLOOKUP($A238,'Institution Evaluation'!$A$56:$K$346,10,0)&amp;""</f>
        <v/>
      </c>
      <c r="K238" s="200" t="str">
        <f aca="false">IF(VLOOKUP($A238,'Institution Evaluation'!$A$56:$K$346,10,0)=TRUE(),"Yes","")</f>
        <v/>
      </c>
    </row>
    <row r="239" customFormat="false" ht="99.95" hidden="false" customHeight="false" outlineLevel="0" collapsed="false">
      <c r="A239" s="35" t="s">
        <v>275</v>
      </c>
      <c r="B239" s="45" t="str">
        <f aca="false">VLOOKUP($A239,Questions!$A$2:$X$333,2,0)</f>
        <v>Does the application log administrative activity, such as user account access changes and password changes, including specific user, date/time of changes, and originating IP or device?</v>
      </c>
      <c r="C239" s="199" t="str">
        <f aca="false">VLOOKUP($A239,'Institution Evaluation'!$A$56:$K$346,3,0)&amp;""</f>
        <v/>
      </c>
      <c r="D239" s="199" t="str">
        <f aca="false">VLOOKUP($A239,'Institution Evaluation'!$A$56:$K$346,4,0)&amp;""</f>
        <v>This question does not apply.</v>
      </c>
      <c r="E239" s="206" t="str">
        <f aca="false">VLOOKUP($A239,'Institution Evaluation'!$A$56:$K$346,5,0)&amp;""</f>
        <v>Based on the response to REQU-05 on the "START HERE" tab, this question does not apply to this product or service.</v>
      </c>
      <c r="F239" s="209" t="str">
        <f aca="false">VLOOKUP($A239,'Institution Evaluation'!$A$56:$K$346,6,0)&amp;""</f>
        <v/>
      </c>
      <c r="G239" s="197" t="str">
        <f aca="false">VLOOKUP($A239,'Institution Evaluation'!$A$56:$K$346,7,0)&amp;""</f>
        <v>Yes</v>
      </c>
      <c r="H239" s="198" t="str">
        <f aca="false">VLOOKUP($A239,'Institution Evaluation'!$A$56:$K$346,8,0)&amp;""</f>
        <v/>
      </c>
      <c r="I239" s="199" t="str">
        <f aca="false">VLOOKUP($A239,'Institution Evaluation'!$A$56:$K$346,9,0)&amp;""</f>
        <v>Standard Importance</v>
      </c>
      <c r="J239" s="251" t="str">
        <f aca="false">VLOOKUP($A239,'Institution Evaluation'!$A$56:$K$346,10,0)&amp;""</f>
        <v/>
      </c>
      <c r="K239" s="200" t="str">
        <f aca="false">IF(VLOOKUP($A239,'Institution Evaluation'!$A$56:$K$346,10,0)=TRUE(),"Yes","")</f>
        <v/>
      </c>
    </row>
    <row r="240" s="1" customFormat="true" ht="99.95" hidden="false" customHeight="false" outlineLevel="0" collapsed="false">
      <c r="A240" s="35" t="s">
        <v>276</v>
      </c>
      <c r="B240" s="45" t="str">
        <f aca="false">VLOOKUP($A240,Questions!$A$2:$X$333,2,0)</f>
        <v>Do you retain logs for at least as long as required by HIPAA regulations?</v>
      </c>
      <c r="C240" s="199" t="str">
        <f aca="false">VLOOKUP($A240,'Institution Evaluation'!$A$56:$K$346,3,0)&amp;""</f>
        <v/>
      </c>
      <c r="D240" s="199" t="str">
        <f aca="false">VLOOKUP($A240,'Institution Evaluation'!$A$56:$K$346,4,0)&amp;""</f>
        <v>This question does not apply.</v>
      </c>
      <c r="E240" s="206" t="str">
        <f aca="false">VLOOKUP($A240,'Institution Evaluation'!$A$56:$K$346,5,0)&amp;""</f>
        <v>Based on the response to REQU-05 on the "START HERE" tab, this question does not apply to this product or service.</v>
      </c>
      <c r="F240" s="209" t="str">
        <f aca="false">VLOOKUP($A240,'Institution Evaluation'!$A$56:$K$346,6,0)&amp;""</f>
        <v/>
      </c>
      <c r="G240" s="197" t="str">
        <f aca="false">VLOOKUP($A240,'Institution Evaluation'!$A$56:$K$346,7,0)&amp;""</f>
        <v>Yes</v>
      </c>
      <c r="H240" s="198" t="str">
        <f aca="false">VLOOKUP($A240,'Institution Evaluation'!$A$56:$K$346,8,0)&amp;""</f>
        <v/>
      </c>
      <c r="I240" s="199" t="str">
        <f aca="false">VLOOKUP($A240,'Institution Evaluation'!$A$56:$K$346,9,0)&amp;""</f>
        <v>Standard Importance</v>
      </c>
      <c r="J240" s="251" t="str">
        <f aca="false">VLOOKUP($A240,'Institution Evaluation'!$A$56:$K$346,10,0)&amp;""</f>
        <v/>
      </c>
      <c r="K240" s="200" t="str">
        <f aca="false">IF(VLOOKUP($A240,'Institution Evaluation'!$A$56:$K$346,10,0)=TRUE(),"Yes","")</f>
        <v/>
      </c>
      <c r="L240" s="101"/>
      <c r="M240" s="101"/>
      <c r="N240" s="101"/>
    </row>
    <row r="241" customFormat="false" ht="99.95" hidden="false" customHeight="false" outlineLevel="0" collapsed="false">
      <c r="A241" s="35" t="s">
        <v>277</v>
      </c>
      <c r="B241" s="45" t="str">
        <f aca="false">VLOOKUP($A241,Questions!$A$2:$X$333,2,0)</f>
        <v>Can the application logs be archived?</v>
      </c>
      <c r="C241" s="199" t="str">
        <f aca="false">VLOOKUP($A241,'Institution Evaluation'!$A$56:$K$346,3,0)&amp;""</f>
        <v/>
      </c>
      <c r="D241" s="199" t="str">
        <f aca="false">VLOOKUP($A241,'Institution Evaluation'!$A$56:$K$346,4,0)&amp;""</f>
        <v>This question does not apply.</v>
      </c>
      <c r="E241" s="206" t="str">
        <f aca="false">VLOOKUP($A241,'Institution Evaluation'!$A$56:$K$346,5,0)&amp;""</f>
        <v>Based on the response to REQU-05 on the "START HERE" tab, this question does not apply to this product or service.</v>
      </c>
      <c r="F241" s="209" t="str">
        <f aca="false">VLOOKUP($A241,'Institution Evaluation'!$A$56:$K$346,6,0)&amp;""</f>
        <v/>
      </c>
      <c r="G241" s="197" t="str">
        <f aca="false">VLOOKUP($A241,'Institution Evaluation'!$A$56:$K$346,7,0)&amp;""</f>
        <v>Yes</v>
      </c>
      <c r="H241" s="198" t="str">
        <f aca="false">VLOOKUP($A241,'Institution Evaluation'!$A$56:$K$346,8,0)&amp;""</f>
        <v/>
      </c>
      <c r="I241" s="199" t="str">
        <f aca="false">VLOOKUP($A241,'Institution Evaluation'!$A$56:$K$346,9,0)&amp;""</f>
        <v>Standard Importance</v>
      </c>
      <c r="J241" s="251" t="str">
        <f aca="false">VLOOKUP($A241,'Institution Evaluation'!$A$56:$K$346,10,0)&amp;""</f>
        <v/>
      </c>
      <c r="K241" s="200" t="str">
        <f aca="false">IF(VLOOKUP($A241,'Institution Evaluation'!$A$56:$K$346,10,0)=TRUE(),"Yes","")</f>
        <v/>
      </c>
    </row>
    <row r="242" customFormat="false" ht="99.95" hidden="false" customHeight="false" outlineLevel="0" collapsed="false">
      <c r="A242" s="35" t="s">
        <v>278</v>
      </c>
      <c r="B242" s="45" t="str">
        <f aca="false">VLOOKUP($A242,Questions!$A$2:$X$333,2,0)</f>
        <v>Can the application logs be saved externally?</v>
      </c>
      <c r="C242" s="199" t="str">
        <f aca="false">VLOOKUP($A242,'Institution Evaluation'!$A$56:$K$346,3,0)&amp;""</f>
        <v/>
      </c>
      <c r="D242" s="199" t="str">
        <f aca="false">VLOOKUP($A242,'Institution Evaluation'!$A$56:$K$346,4,0)&amp;""</f>
        <v>This question does not apply.</v>
      </c>
      <c r="E242" s="206" t="str">
        <f aca="false">VLOOKUP($A242,'Institution Evaluation'!$A$56:$K$346,5,0)&amp;""</f>
        <v>Based on the response to REQU-05 on the "START HERE" tab, this question does not apply to this product or service.</v>
      </c>
      <c r="F242" s="209" t="str">
        <f aca="false">VLOOKUP($A242,'Institution Evaluation'!$A$56:$K$346,6,0)&amp;""</f>
        <v/>
      </c>
      <c r="G242" s="197" t="str">
        <f aca="false">VLOOKUP($A242,'Institution Evaluation'!$A$56:$K$346,7,0)&amp;""</f>
        <v>Yes</v>
      </c>
      <c r="H242" s="198" t="str">
        <f aca="false">VLOOKUP($A242,'Institution Evaluation'!$A$56:$K$346,8,0)&amp;""</f>
        <v/>
      </c>
      <c r="I242" s="199" t="str">
        <f aca="false">VLOOKUP($A242,'Institution Evaluation'!$A$56:$K$346,9,0)&amp;""</f>
        <v>Standard Importance</v>
      </c>
      <c r="J242" s="251" t="str">
        <f aca="false">VLOOKUP($A242,'Institution Evaluation'!$A$56:$K$346,10,0)&amp;""</f>
        <v/>
      </c>
      <c r="K242" s="200" t="str">
        <f aca="false">IF(VLOOKUP($A242,'Institution Evaluation'!$A$56:$K$346,10,0)=TRUE(),"Yes","")</f>
        <v/>
      </c>
    </row>
    <row r="243" customFormat="false" ht="99.95" hidden="false" customHeight="false" outlineLevel="0" collapsed="false">
      <c r="A243" s="35" t="s">
        <v>279</v>
      </c>
      <c r="B243" s="45" t="str">
        <f aca="false">VLOOKUP($A243,Questions!$A$2:$X$333,2,0)</f>
        <v>Do you have a disaster recovery plan and emergency mode operation plan?</v>
      </c>
      <c r="C243" s="199" t="str">
        <f aca="false">VLOOKUP($A243,'Institution Evaluation'!$A$56:$K$346,3,0)&amp;""</f>
        <v/>
      </c>
      <c r="D243" s="199" t="str">
        <f aca="false">VLOOKUP($A243,'Institution Evaluation'!$A$56:$K$346,4,0)&amp;""</f>
        <v>This question does not apply.</v>
      </c>
      <c r="E243" s="206" t="str">
        <f aca="false">VLOOKUP($A243,'Institution Evaluation'!$A$56:$K$346,5,0)&amp;""</f>
        <v>Based on the response to REQU-05 on the "START HERE" tab, this question does not apply to this product or service.</v>
      </c>
      <c r="F243" s="209" t="str">
        <f aca="false">VLOOKUP($A243,'Institution Evaluation'!$A$56:$K$346,6,0)&amp;""</f>
        <v/>
      </c>
      <c r="G243" s="197" t="str">
        <f aca="false">VLOOKUP($A243,'Institution Evaluation'!$A$56:$K$346,7,0)&amp;""</f>
        <v>Yes</v>
      </c>
      <c r="H243" s="198" t="str">
        <f aca="false">VLOOKUP($A243,'Institution Evaluation'!$A$56:$K$346,8,0)&amp;""</f>
        <v/>
      </c>
      <c r="I243" s="199" t="str">
        <f aca="false">VLOOKUP($A243,'Institution Evaluation'!$A$56:$K$346,9,0)&amp;""</f>
        <v>Standard Importance</v>
      </c>
      <c r="J243" s="251" t="str">
        <f aca="false">VLOOKUP($A243,'Institution Evaluation'!$A$56:$K$346,10,0)&amp;""</f>
        <v/>
      </c>
      <c r="K243" s="200" t="str">
        <f aca="false">IF(VLOOKUP($A243,'Institution Evaluation'!$A$56:$K$346,10,0)=TRUE(),"Yes","")</f>
        <v/>
      </c>
    </row>
    <row r="244" customFormat="false" ht="99.95" hidden="false" customHeight="false" outlineLevel="0" collapsed="false">
      <c r="A244" s="35" t="s">
        <v>280</v>
      </c>
      <c r="B244" s="45" t="str">
        <f aca="false">VLOOKUP($A244,Questions!$A$2:$X$333,2,0)</f>
        <v>Can you provide a HIPAA compliance attestation document?</v>
      </c>
      <c r="C244" s="199" t="str">
        <f aca="false">VLOOKUP($A244,'Institution Evaluation'!$A$56:$K$346,3,0)&amp;""</f>
        <v/>
      </c>
      <c r="D244" s="199" t="str">
        <f aca="false">VLOOKUP($A244,'Institution Evaluation'!$A$56:$K$346,4,0)&amp;""</f>
        <v>This question does not apply.</v>
      </c>
      <c r="E244" s="206" t="str">
        <f aca="false">VLOOKUP($A244,'Institution Evaluation'!$A$56:$K$346,5,0)&amp;""</f>
        <v>Based on the response to REQU-05 on the "START HERE" tab, this question does not apply to this product or service.</v>
      </c>
      <c r="F244" s="209" t="str">
        <f aca="false">VLOOKUP($A244,'Institution Evaluation'!$A$56:$K$346,6,0)&amp;""</f>
        <v/>
      </c>
      <c r="G244" s="197" t="str">
        <f aca="false">VLOOKUP($A244,'Institution Evaluation'!$A$56:$K$346,7,0)&amp;""</f>
        <v>Yes</v>
      </c>
      <c r="H244" s="198" t="str">
        <f aca="false">VLOOKUP($A244,'Institution Evaluation'!$A$56:$K$346,8,0)&amp;""</f>
        <v/>
      </c>
      <c r="I244" s="199" t="str">
        <f aca="false">VLOOKUP($A244,'Institution Evaluation'!$A$56:$K$346,9,0)&amp;""</f>
        <v>Standard Importance</v>
      </c>
      <c r="J244" s="251" t="str">
        <f aca="false">VLOOKUP($A244,'Institution Evaluation'!$A$56:$K$346,10,0)&amp;""</f>
        <v/>
      </c>
      <c r="K244" s="200" t="str">
        <f aca="false">IF(VLOOKUP($A244,'Institution Evaluation'!$A$56:$K$346,10,0)=TRUE(),"Yes","")</f>
        <v/>
      </c>
    </row>
    <row r="245" customFormat="false" ht="99.95" hidden="false" customHeight="false" outlineLevel="0" collapsed="false">
      <c r="A245" s="35" t="s">
        <v>281</v>
      </c>
      <c r="B245" s="45" t="str">
        <f aca="false">VLOOKUP($A245,Questions!$A$2:$X$333,2,0)</f>
        <v>Are you willing to enter into a Business Associate Agreement (BAA)?</v>
      </c>
      <c r="C245" s="199" t="str">
        <f aca="false">VLOOKUP($A245,'Institution Evaluation'!$A$56:$K$346,3,0)&amp;""</f>
        <v/>
      </c>
      <c r="D245" s="199" t="str">
        <f aca="false">VLOOKUP($A245,'Institution Evaluation'!$A$56:$K$346,4,0)&amp;""</f>
        <v>This question does not apply.</v>
      </c>
      <c r="E245" s="206" t="str">
        <f aca="false">VLOOKUP($A245,'Institution Evaluation'!$A$56:$K$346,5,0)&amp;""</f>
        <v>Based on the response to REQU-05 on the "START HERE" tab, this question does not apply to this product or service.</v>
      </c>
      <c r="F245" s="209" t="str">
        <f aca="false">VLOOKUP($A245,'Institution Evaluation'!$A$56:$K$346,6,0)&amp;""</f>
        <v/>
      </c>
      <c r="G245" s="197" t="str">
        <f aca="false">VLOOKUP($A245,'Institution Evaluation'!$A$56:$K$346,7,0)&amp;""</f>
        <v>Yes</v>
      </c>
      <c r="H245" s="198" t="str">
        <f aca="false">VLOOKUP($A245,'Institution Evaluation'!$A$56:$K$346,8,0)&amp;""</f>
        <v/>
      </c>
      <c r="I245" s="199" t="str">
        <f aca="false">VLOOKUP($A245,'Institution Evaluation'!$A$56:$K$346,9,0)&amp;""</f>
        <v>Standard Importance</v>
      </c>
      <c r="J245" s="251" t="str">
        <f aca="false">VLOOKUP($A245,'Institution Evaluation'!$A$56:$K$346,10,0)&amp;""</f>
        <v/>
      </c>
      <c r="K245" s="200" t="str">
        <f aca="false">IF(VLOOKUP($A245,'Institution Evaluation'!$A$56:$K$346,10,0)=TRUE(),"Yes","")</f>
        <v/>
      </c>
    </row>
    <row r="246" customFormat="false" ht="99.95" hidden="false" customHeight="false" outlineLevel="0" collapsed="false">
      <c r="A246" s="35" t="s">
        <v>282</v>
      </c>
      <c r="B246" s="45" t="str">
        <f aca="false">VLOOKUP($A246,Questions!$A$2:$X$333,2,0)</f>
        <v>Do your data backup and retention policies and practices meet HIPAA requirements?</v>
      </c>
      <c r="C246" s="199" t="str">
        <f aca="false">VLOOKUP($A246,'Institution Evaluation'!$A$56:$K$346,3,0)&amp;""</f>
        <v/>
      </c>
      <c r="D246" s="199" t="str">
        <f aca="false">VLOOKUP($A246,'Institution Evaluation'!$A$56:$K$346,4,0)&amp;""</f>
        <v>This question does not apply.</v>
      </c>
      <c r="E246" s="206" t="str">
        <f aca="false">VLOOKUP($A246,'Institution Evaluation'!$A$56:$K$346,5,0)&amp;""</f>
        <v>Based on the response to REQU-05 on the "START HERE" tab, this question does not apply to this product or service.</v>
      </c>
      <c r="F246" s="209" t="str">
        <f aca="false">VLOOKUP($A246,'Institution Evaluation'!$A$56:$K$346,6,0)&amp;""</f>
        <v/>
      </c>
      <c r="G246" s="197" t="str">
        <f aca="false">VLOOKUP($A246,'Institution Evaluation'!$A$56:$K$346,7,0)&amp;""</f>
        <v>Yes</v>
      </c>
      <c r="H246" s="198" t="str">
        <f aca="false">VLOOKUP($A246,'Institution Evaluation'!$A$56:$K$346,8,0)&amp;""</f>
        <v/>
      </c>
      <c r="I246" s="199" t="str">
        <f aca="false">VLOOKUP($A246,'Institution Evaluation'!$A$56:$K$346,9,0)&amp;""</f>
        <v>Minor Importance</v>
      </c>
      <c r="J246" s="251" t="str">
        <f aca="false">VLOOKUP($A246,'Institution Evaluation'!$A$56:$K$346,10,0)&amp;""</f>
        <v/>
      </c>
      <c r="K246" s="200" t="str">
        <f aca="false">IF(VLOOKUP($A246,'Institution Evaluation'!$A$56:$K$346,10,0)=TRUE(),"Yes","")</f>
        <v/>
      </c>
    </row>
    <row r="247" customFormat="false" ht="17.9" hidden="false" customHeight="false" outlineLevel="0" collapsed="false">
      <c r="A247" s="31" t="str">
        <f aca="false">VLOOKUP(LEFT($A248,4),'Auto Responses'!$N$4:$O$38,2,0)&amp;""</f>
        <v> Payment Card Industry Data Security Standard (PCI DSS)</v>
      </c>
      <c r="B247" s="42"/>
      <c r="C247" s="43"/>
      <c r="D247" s="43"/>
      <c r="E247" s="204"/>
      <c r="F247" s="192" t="s">
        <v>454</v>
      </c>
      <c r="G247" s="201" t="s">
        <v>449</v>
      </c>
      <c r="H247" s="201" t="s">
        <v>450</v>
      </c>
      <c r="I247" s="201" t="s">
        <v>451</v>
      </c>
      <c r="J247" s="201" t="s">
        <v>452</v>
      </c>
      <c r="K247" s="43"/>
      <c r="L247" s="1"/>
      <c r="M247" s="1"/>
      <c r="N247" s="1"/>
    </row>
    <row r="248" customFormat="false" ht="83.55" hidden="false" customHeight="false" outlineLevel="0" collapsed="false">
      <c r="A248" s="35" t="s">
        <v>283</v>
      </c>
      <c r="B248" s="45" t="str">
        <f aca="false">VLOOKUP($A248,Questions!$A$2:$X$333,2,0)</f>
        <v>Do you have a current, executed within the past year, Attestation of Compliance (AoC) or Report on Compliance (RoC)?*</v>
      </c>
      <c r="C248" s="199" t="str">
        <f aca="false">VLOOKUP($A248,'Institution Evaluation'!$A$56:$K$346,3,0)&amp;""</f>
        <v/>
      </c>
      <c r="D248" s="199" t="str">
        <f aca="false">VLOOKUP($A248,'Institution Evaluation'!$A$56:$K$346,4,0)&amp;""</f>
        <v>This question does not apply.</v>
      </c>
      <c r="E248" s="206" t="str">
        <f aca="false">VLOOKUP($A248,'Institution Evaluation'!$A$56:$K$346,5,0)&amp;""</f>
        <v>Based on the response to REQU-06 on the "START HERE" tab, this question does not apply to this product or service.</v>
      </c>
      <c r="F248" s="209" t="str">
        <f aca="false">VLOOKUP($A248,'Institution Evaluation'!$A$56:$K$346,6,0)&amp;""</f>
        <v/>
      </c>
      <c r="G248" s="197" t="str">
        <f aca="false">VLOOKUP($A248,'Institution Evaluation'!$A$56:$K$346,7,0)&amp;""</f>
        <v>Yes</v>
      </c>
      <c r="H248" s="198" t="str">
        <f aca="false">VLOOKUP($A248,'Institution Evaluation'!$A$56:$K$346,8,0)&amp;""</f>
        <v/>
      </c>
      <c r="I248" s="199" t="str">
        <f aca="false">VLOOKUP($A248,'Institution Evaluation'!$A$56:$K$346,9,0)&amp;""</f>
        <v>Critical Importance</v>
      </c>
      <c r="J248" s="251" t="str">
        <f aca="false">VLOOKUP($A248,'Institution Evaluation'!$A$56:$K$346,10,0)&amp;""</f>
        <v/>
      </c>
      <c r="K248" s="200" t="str">
        <f aca="false">IF(VLOOKUP($A248,'Institution Evaluation'!$A$56:$K$346,10,0)=TRUE(),"Yes","")</f>
        <v/>
      </c>
    </row>
    <row r="249" customFormat="false" ht="83.55" hidden="false" customHeight="false" outlineLevel="0" collapsed="false">
      <c r="A249" s="35" t="s">
        <v>284</v>
      </c>
      <c r="B249" s="45" t="str">
        <f aca="false">VLOOKUP($A249,Questions!$A$2:$X$333,2,0)</f>
        <v>Is the application listed as an approved Payment Application Data Security Standard (PA-DSS) application?*</v>
      </c>
      <c r="C249" s="199" t="str">
        <f aca="false">VLOOKUP($A249,'Institution Evaluation'!$A$56:$K$346,3,0)&amp;""</f>
        <v/>
      </c>
      <c r="D249" s="199" t="str">
        <f aca="false">VLOOKUP($A249,'Institution Evaluation'!$A$56:$K$346,4,0)&amp;""</f>
        <v>This question does not apply.</v>
      </c>
      <c r="E249" s="206" t="str">
        <f aca="false">VLOOKUP($A249,'Institution Evaluation'!$A$56:$K$346,5,0)&amp;""</f>
        <v>Based on the response to REQU-06 on the "START HERE" tab, this question does not apply to this product or service.</v>
      </c>
      <c r="F249" s="209" t="str">
        <f aca="false">VLOOKUP($A249,'Institution Evaluation'!$A$56:$K$346,6,0)&amp;""</f>
        <v/>
      </c>
      <c r="G249" s="197" t="str">
        <f aca="false">VLOOKUP($A249,'Institution Evaluation'!$A$56:$K$346,7,0)&amp;""</f>
        <v>No</v>
      </c>
      <c r="H249" s="198" t="str">
        <f aca="false">VLOOKUP($A249,'Institution Evaluation'!$A$56:$K$346,8,0)&amp;""</f>
        <v/>
      </c>
      <c r="I249" s="199" t="str">
        <f aca="false">VLOOKUP($A249,'Institution Evaluation'!$A$56:$K$346,9,0)&amp;""</f>
        <v>Critical Importance</v>
      </c>
      <c r="J249" s="251" t="str">
        <f aca="false">VLOOKUP($A249,'Institution Evaluation'!$A$56:$K$346,10,0)&amp;""</f>
        <v/>
      </c>
      <c r="K249" s="200" t="str">
        <f aca="false">IF(VLOOKUP($A249,'Institution Evaluation'!$A$56:$K$346,10,0)=TRUE(),"Yes","")</f>
        <v/>
      </c>
    </row>
    <row r="250" customFormat="false" ht="83.55" hidden="false" customHeight="false" outlineLevel="0" collapsed="false">
      <c r="A250" s="35" t="s">
        <v>285</v>
      </c>
      <c r="B250" s="45" t="str">
        <f aca="false">VLOOKUP($A250,Questions!$A$2:$X$333,2,0)</f>
        <v>Does the system or solutions use a third party to collect, store, process, or transmit cardholder (payment/credit/debt card) data?*</v>
      </c>
      <c r="C250" s="199" t="str">
        <f aca="false">VLOOKUP($A250,'Institution Evaluation'!$A$56:$K$346,3,0)&amp;""</f>
        <v/>
      </c>
      <c r="D250" s="199" t="str">
        <f aca="false">VLOOKUP($A250,'Institution Evaluation'!$A$56:$K$346,4,0)&amp;""</f>
        <v>This question does not apply.</v>
      </c>
      <c r="E250" s="206" t="str">
        <f aca="false">VLOOKUP($A250,'Institution Evaluation'!$A$56:$K$346,5,0)&amp;""</f>
        <v>Based on the response to REQU-06 on the "START HERE" tab, this question does not apply to this product or service.</v>
      </c>
      <c r="F250" s="209" t="str">
        <f aca="false">VLOOKUP($A250,'Institution Evaluation'!$A$56:$K$346,6,0)&amp;""</f>
        <v/>
      </c>
      <c r="G250" s="197" t="str">
        <f aca="false">VLOOKUP($A250,'Institution Evaluation'!$A$56:$K$346,7,0)&amp;""</f>
        <v>No</v>
      </c>
      <c r="H250" s="198" t="str">
        <f aca="false">VLOOKUP($A250,'Institution Evaluation'!$A$56:$K$346,8,0)&amp;""</f>
        <v/>
      </c>
      <c r="I250" s="199" t="str">
        <f aca="false">VLOOKUP($A250,'Institution Evaluation'!$A$56:$K$346,9,0)&amp;""</f>
        <v>Critical Importance</v>
      </c>
      <c r="J250" s="251" t="str">
        <f aca="false">VLOOKUP($A250,'Institution Evaluation'!$A$56:$K$346,10,0)&amp;""</f>
        <v/>
      </c>
      <c r="K250" s="200" t="str">
        <f aca="false">IF(VLOOKUP($A250,'Institution Evaluation'!$A$56:$K$346,10,0)=TRUE(),"Yes","")</f>
        <v/>
      </c>
    </row>
    <row r="251" customFormat="false" ht="83.55" hidden="false" customHeight="false" outlineLevel="0" collapsed="false">
      <c r="A251" s="35" t="s">
        <v>286</v>
      </c>
      <c r="B251" s="45" t="str">
        <f aca="false">VLOOKUP($A251,Questions!$A$2:$X$333,2,0)</f>
        <v>Do your systems or solutions store, process, or transmit cardholder (payment/credit/debt card) data?</v>
      </c>
      <c r="C251" s="199" t="str">
        <f aca="false">VLOOKUP($A251,'Institution Evaluation'!$A$56:$K$346,3,0)&amp;""</f>
        <v/>
      </c>
      <c r="D251" s="199" t="str">
        <f aca="false">VLOOKUP($A251,'Institution Evaluation'!$A$56:$K$346,4,0)&amp;""</f>
        <v>This question does not apply.</v>
      </c>
      <c r="E251" s="206" t="str">
        <f aca="false">VLOOKUP($A251,'Institution Evaluation'!$A$56:$K$346,5,0)&amp;""</f>
        <v>Based on the response to REQU-06 on the "START HERE" tab, this question does not apply to this product or service.</v>
      </c>
      <c r="F251" s="209" t="str">
        <f aca="false">VLOOKUP($A251,'Institution Evaluation'!$A$56:$K$346,6,0)&amp;""</f>
        <v/>
      </c>
      <c r="G251" s="197" t="str">
        <f aca="false">VLOOKUP($A251,'Institution Evaluation'!$A$56:$K$346,7,0)&amp;""</f>
        <v>Yes</v>
      </c>
      <c r="H251" s="198" t="str">
        <f aca="false">VLOOKUP($A251,'Institution Evaluation'!$A$56:$K$346,8,0)&amp;""</f>
        <v/>
      </c>
      <c r="I251" s="199" t="str">
        <f aca="false">VLOOKUP($A251,'Institution Evaluation'!$A$56:$K$346,9,0)&amp;""</f>
        <v>Standard Importance</v>
      </c>
      <c r="J251" s="251" t="str">
        <f aca="false">VLOOKUP($A251,'Institution Evaluation'!$A$56:$K$346,10,0)&amp;""</f>
        <v/>
      </c>
      <c r="K251" s="200" t="str">
        <f aca="false">IF(VLOOKUP($A251,'Institution Evaluation'!$A$56:$K$346,10,0)=TRUE(),"Yes","")</f>
        <v/>
      </c>
    </row>
    <row r="252" customFormat="false" ht="83.55" hidden="false" customHeight="false" outlineLevel="0" collapsed="false">
      <c r="A252" s="35" t="s">
        <v>287</v>
      </c>
      <c r="B252" s="45" t="str">
        <f aca="false">VLOOKUP($A252,Questions!$A$2:$X$333,2,0)</f>
        <v>Are you compliant with the Payment Card Industry Data Security Standard (PCI DSS)?</v>
      </c>
      <c r="C252" s="199" t="str">
        <f aca="false">VLOOKUP($A252,'Institution Evaluation'!$A$56:$K$346,3,0)&amp;""</f>
        <v/>
      </c>
      <c r="D252" s="199" t="str">
        <f aca="false">VLOOKUP($A252,'Institution Evaluation'!$A$56:$K$346,4,0)&amp;""</f>
        <v>This question does not apply.</v>
      </c>
      <c r="E252" s="206" t="str">
        <f aca="false">VLOOKUP($A252,'Institution Evaluation'!$A$56:$K$346,5,0)&amp;""</f>
        <v>Based on the response to REQU-06 on the "START HERE" tab, this question does not apply to this product or service.</v>
      </c>
      <c r="F252" s="209" t="str">
        <f aca="false">VLOOKUP($A252,'Institution Evaluation'!$A$56:$K$346,6,0)&amp;""</f>
        <v/>
      </c>
      <c r="G252" s="197" t="str">
        <f aca="false">VLOOKUP($A252,'Institution Evaluation'!$A$56:$K$346,7,0)&amp;""</f>
        <v>Yes</v>
      </c>
      <c r="H252" s="198" t="str">
        <f aca="false">VLOOKUP($A252,'Institution Evaluation'!$A$56:$K$346,8,0)&amp;""</f>
        <v/>
      </c>
      <c r="I252" s="199" t="str">
        <f aca="false">VLOOKUP($A252,'Institution Evaluation'!$A$56:$K$346,9,0)&amp;""</f>
        <v>Standard Importance</v>
      </c>
      <c r="J252" s="251" t="str">
        <f aca="false">VLOOKUP($A252,'Institution Evaluation'!$A$56:$K$346,10,0)&amp;""</f>
        <v/>
      </c>
      <c r="K252" s="200" t="str">
        <f aca="false">IF(VLOOKUP($A252,'Institution Evaluation'!$A$56:$K$346,10,0)=TRUE(),"Yes","")</f>
        <v/>
      </c>
    </row>
    <row r="253" customFormat="false" ht="83.55" hidden="false" customHeight="false" outlineLevel="0" collapsed="false">
      <c r="A253" s="35" t="s">
        <v>288</v>
      </c>
      <c r="B253" s="45" t="str">
        <f aca="false">VLOOKUP($A253,Questions!$A$2:$X$333,2,0)</f>
        <v>Are you classified as a service provider?</v>
      </c>
      <c r="C253" s="199" t="str">
        <f aca="false">VLOOKUP($A253,'Institution Evaluation'!$A$56:$K$346,3,0)&amp;""</f>
        <v/>
      </c>
      <c r="D253" s="199" t="str">
        <f aca="false">VLOOKUP($A253,'Institution Evaluation'!$A$56:$K$346,4,0)&amp;""</f>
        <v>This question does not apply.</v>
      </c>
      <c r="E253" s="206" t="str">
        <f aca="false">VLOOKUP($A253,'Institution Evaluation'!$A$56:$K$346,5,0)&amp;""</f>
        <v>Based on the response to REQU-06 on the "START HERE" tab, this question does not apply to this product or service.</v>
      </c>
      <c r="F253" s="209" t="str">
        <f aca="false">VLOOKUP($A253,'Institution Evaluation'!$A$56:$K$346,6,0)&amp;""</f>
        <v/>
      </c>
      <c r="G253" s="197" t="str">
        <f aca="false">VLOOKUP($A253,'Institution Evaluation'!$A$56:$K$346,7,0)&amp;""</f>
        <v>Yes</v>
      </c>
      <c r="H253" s="198" t="str">
        <f aca="false">VLOOKUP($A253,'Institution Evaluation'!$A$56:$K$346,8,0)&amp;""</f>
        <v/>
      </c>
      <c r="I253" s="199" t="str">
        <f aca="false">VLOOKUP($A253,'Institution Evaluation'!$A$56:$K$346,9,0)&amp;""</f>
        <v>Standard Importance</v>
      </c>
      <c r="J253" s="251" t="str">
        <f aca="false">VLOOKUP($A253,'Institution Evaluation'!$A$56:$K$346,10,0)&amp;""</f>
        <v/>
      </c>
      <c r="K253" s="200" t="str">
        <f aca="false">IF(VLOOKUP($A253,'Institution Evaluation'!$A$56:$K$346,10,0)=TRUE(),"Yes","")</f>
        <v/>
      </c>
    </row>
    <row r="254" customFormat="false" ht="83.55" hidden="false" customHeight="false" outlineLevel="0" collapsed="false">
      <c r="A254" s="35" t="s">
        <v>289</v>
      </c>
      <c r="B254" s="45" t="str">
        <f aca="false">VLOOKUP($A254,Questions!$A$2:$X$333,2,0)</f>
        <v>Are you on the list of Visa approved service providers?</v>
      </c>
      <c r="C254" s="199" t="str">
        <f aca="false">VLOOKUP($A254,'Institution Evaluation'!$A$56:$K$346,3,0)&amp;""</f>
        <v/>
      </c>
      <c r="D254" s="199" t="str">
        <f aca="false">VLOOKUP($A254,'Institution Evaluation'!$A$56:$K$346,4,0)&amp;""</f>
        <v>This question does not apply.</v>
      </c>
      <c r="E254" s="206" t="str">
        <f aca="false">VLOOKUP($A254,'Institution Evaluation'!$A$56:$K$346,5,0)&amp;""</f>
        <v>Based on the response to REQU-06 on the "START HERE" tab, this question does not apply to this product or service.</v>
      </c>
      <c r="F254" s="209" t="str">
        <f aca="false">VLOOKUP($A254,'Institution Evaluation'!$A$56:$K$346,6,0)&amp;""</f>
        <v/>
      </c>
      <c r="G254" s="197" t="str">
        <f aca="false">VLOOKUP($A254,'Institution Evaluation'!$A$56:$K$346,7,0)&amp;""</f>
        <v>Yes</v>
      </c>
      <c r="H254" s="198" t="str">
        <f aca="false">VLOOKUP($A254,'Institution Evaluation'!$A$56:$K$346,8,0)&amp;""</f>
        <v/>
      </c>
      <c r="I254" s="199" t="str">
        <f aca="false">VLOOKUP($A254,'Institution Evaluation'!$A$56:$K$346,9,0)&amp;""</f>
        <v>Standard Importance</v>
      </c>
      <c r="J254" s="251" t="str">
        <f aca="false">VLOOKUP($A254,'Institution Evaluation'!$A$56:$K$346,10,0)&amp;""</f>
        <v/>
      </c>
      <c r="K254" s="200" t="str">
        <f aca="false">IF(VLOOKUP($A254,'Institution Evaluation'!$A$56:$K$346,10,0)=TRUE(),"Yes","")</f>
        <v/>
      </c>
    </row>
    <row r="255" customFormat="false" ht="83.55" hidden="false" customHeight="false" outlineLevel="0" collapsed="false">
      <c r="A255" s="35" t="s">
        <v>290</v>
      </c>
      <c r="B255" s="45" t="str">
        <f aca="false">VLOOKUP($A255,Questions!$A$2:$X$333,2,0)</f>
        <v>Are you classified as a merchant? If so, what level (1, 2, 3, 4)?</v>
      </c>
      <c r="C255" s="199" t="str">
        <f aca="false">VLOOKUP($A255,'Institution Evaluation'!$A$56:$K$346,3,0)&amp;""</f>
        <v/>
      </c>
      <c r="D255" s="199" t="str">
        <f aca="false">VLOOKUP($A255,'Institution Evaluation'!$A$56:$K$346,4,0)&amp;""</f>
        <v>This question does not apply.</v>
      </c>
      <c r="E255" s="206" t="str">
        <f aca="false">VLOOKUP($A255,'Institution Evaluation'!$A$56:$K$346,5,0)&amp;""</f>
        <v>Based on the response to REQU-06 on the "START HERE" tab, this question does not apply to this product or service.</v>
      </c>
      <c r="F255" s="209" t="str">
        <f aca="false">VLOOKUP($A255,'Institution Evaluation'!$A$56:$K$346,6,0)&amp;""</f>
        <v/>
      </c>
      <c r="G255" s="197" t="str">
        <f aca="false">VLOOKUP($A255,'Institution Evaluation'!$A$56:$K$346,7,0)&amp;""</f>
        <v>Yes</v>
      </c>
      <c r="H255" s="198" t="str">
        <f aca="false">VLOOKUP($A255,'Institution Evaluation'!$A$56:$K$346,8,0)&amp;""</f>
        <v/>
      </c>
      <c r="I255" s="199" t="str">
        <f aca="false">VLOOKUP($A255,'Institution Evaluation'!$A$56:$K$346,9,0)&amp;""</f>
        <v>Standard Importance</v>
      </c>
      <c r="J255" s="251" t="str">
        <f aca="false">VLOOKUP($A255,'Institution Evaluation'!$A$56:$K$346,10,0)&amp;""</f>
        <v/>
      </c>
      <c r="K255" s="200" t="str">
        <f aca="false">IF(VLOOKUP($A255,'Institution Evaluation'!$A$56:$K$346,10,0)=TRUE(),"Yes","")</f>
        <v/>
      </c>
    </row>
    <row r="256" customFormat="false" ht="83.55" hidden="false" customHeight="false" outlineLevel="0" collapsed="false">
      <c r="A256" s="35" t="s">
        <v>291</v>
      </c>
      <c r="B256" s="45" t="str">
        <f aca="false">VLOOKUP($A256,Questions!$A$2:$X$333,2,0)</f>
        <v>Describe the architecture employed by the system to verify and authorize credit card transactions.</v>
      </c>
      <c r="C256" s="199" t="str">
        <f aca="false">VLOOKUP($A256,'Institution Evaluation'!$A$56:$K$346,3,0)&amp;""</f>
        <v/>
      </c>
      <c r="D256" s="199" t="str">
        <f aca="false">VLOOKUP($A256,'Institution Evaluation'!$A$56:$K$346,4,0)&amp;""</f>
        <v>This question does not apply.</v>
      </c>
      <c r="E256" s="206" t="str">
        <f aca="false">VLOOKUP($A256,'Institution Evaluation'!$A$56:$K$346,5,0)&amp;""</f>
        <v>Based on the response to REQU-06 on the "START HERE" tab, this question does not apply to this product or service.</v>
      </c>
      <c r="F256" s="209" t="str">
        <f aca="false">VLOOKUP($A256,'Institution Evaluation'!$A$56:$K$346,6,0)&amp;""</f>
        <v/>
      </c>
      <c r="G256" s="197" t="str">
        <f aca="false">VLOOKUP($A256,'Institution Evaluation'!$A$56:$K$346,7,0)&amp;""</f>
        <v>Not scored</v>
      </c>
      <c r="H256" s="198" t="str">
        <f aca="false">VLOOKUP($A256,'Institution Evaluation'!$A$56:$K$346,8,0)&amp;""</f>
        <v/>
      </c>
      <c r="I256" s="199" t="str">
        <f aca="false">VLOOKUP($A256,'Institution Evaluation'!$A$56:$K$346,9,0)&amp;""</f>
        <v/>
      </c>
      <c r="J256" s="251" t="str">
        <f aca="false">VLOOKUP($A256,'Institution Evaluation'!$A$56:$K$346,10,0)&amp;""</f>
        <v/>
      </c>
      <c r="K256" s="200" t="str">
        <f aca="false">IF(VLOOKUP($A256,'Institution Evaluation'!$A$56:$K$346,10,0)=TRUE(),"Yes","")</f>
        <v/>
      </c>
    </row>
    <row r="257" customFormat="false" ht="83.55" hidden="false" customHeight="false" outlineLevel="0" collapsed="false">
      <c r="A257" s="35" t="s">
        <v>292</v>
      </c>
      <c r="B257" s="45" t="str">
        <f aca="false">VLOOKUP($A257,Questions!$A$2:$X$333,2,0)</f>
        <v>What payment processors/gateways does the system support?</v>
      </c>
      <c r="C257" s="199" t="str">
        <f aca="false">VLOOKUP($A257,'Institution Evaluation'!$A$56:$K$346,3,0)&amp;""</f>
        <v/>
      </c>
      <c r="D257" s="199" t="str">
        <f aca="false">VLOOKUP($A257,'Institution Evaluation'!$A$56:$K$346,4,0)&amp;""</f>
        <v>This question does not apply.</v>
      </c>
      <c r="E257" s="206" t="str">
        <f aca="false">VLOOKUP($A257,'Institution Evaluation'!$A$56:$K$346,5,0)&amp;""</f>
        <v>Based on the response to REQU-06 on the "START HERE" tab, this question does not apply to this product or service.</v>
      </c>
      <c r="F257" s="209" t="str">
        <f aca="false">VLOOKUP($A257,'Institution Evaluation'!$A$56:$K$346,6,0)&amp;""</f>
        <v/>
      </c>
      <c r="G257" s="197" t="str">
        <f aca="false">VLOOKUP($A257,'Institution Evaluation'!$A$56:$K$346,7,0)&amp;""</f>
        <v>Not scored</v>
      </c>
      <c r="H257" s="198" t="str">
        <f aca="false">VLOOKUP($A257,'Institution Evaluation'!$A$56:$K$346,8,0)&amp;""</f>
        <v/>
      </c>
      <c r="I257" s="199" t="str">
        <f aca="false">VLOOKUP($A257,'Institution Evaluation'!$A$56:$K$346,9,0)&amp;""</f>
        <v/>
      </c>
      <c r="J257" s="251" t="str">
        <f aca="false">VLOOKUP($A257,'Institution Evaluation'!$A$56:$K$346,10,0)&amp;""</f>
        <v/>
      </c>
      <c r="K257" s="200" t="str">
        <f aca="false">IF(VLOOKUP($A257,'Institution Evaluation'!$A$56:$K$346,10,0)=TRUE(),"Yes","")</f>
        <v/>
      </c>
    </row>
    <row r="258" customFormat="false" ht="83.55" hidden="false" customHeight="false" outlineLevel="0" collapsed="false">
      <c r="A258" s="35" t="s">
        <v>293</v>
      </c>
      <c r="B258" s="45" t="str">
        <f aca="false">VLOOKUP($A258,Questions!$A$2:$X$333,2,0)</f>
        <v>Can the application be installed in a PCI DSS–compliant manner?</v>
      </c>
      <c r="C258" s="199" t="str">
        <f aca="false">VLOOKUP($A258,'Institution Evaluation'!$A$56:$K$346,3,0)&amp;""</f>
        <v/>
      </c>
      <c r="D258" s="199" t="str">
        <f aca="false">VLOOKUP($A258,'Institution Evaluation'!$A$56:$K$346,4,0)&amp;""</f>
        <v>This question does not apply.</v>
      </c>
      <c r="E258" s="206" t="str">
        <f aca="false">VLOOKUP($A258,'Institution Evaluation'!$A$56:$K$346,5,0)&amp;""</f>
        <v>Based on the response to REQU-06 on the "START HERE" tab, this question does not apply to this product or service.</v>
      </c>
      <c r="F258" s="209" t="str">
        <f aca="false">VLOOKUP($A258,'Institution Evaluation'!$A$56:$K$346,6,0)&amp;""</f>
        <v/>
      </c>
      <c r="G258" s="197" t="str">
        <f aca="false">VLOOKUP($A258,'Institution Evaluation'!$A$56:$K$346,7,0)&amp;""</f>
        <v>Yes</v>
      </c>
      <c r="H258" s="198" t="str">
        <f aca="false">VLOOKUP($A258,'Institution Evaluation'!$A$56:$K$346,8,0)&amp;""</f>
        <v/>
      </c>
      <c r="I258" s="199" t="str">
        <f aca="false">VLOOKUP($A258,'Institution Evaluation'!$A$56:$K$346,9,0)&amp;""</f>
        <v>Minor Importance</v>
      </c>
      <c r="J258" s="251" t="str">
        <f aca="false">VLOOKUP($A258,'Institution Evaluation'!$A$56:$K$346,10,0)&amp;""</f>
        <v/>
      </c>
      <c r="K258" s="200" t="str">
        <f aca="false">IF(VLOOKUP($A258,'Institution Evaluation'!$A$56:$K$346,10,0)=TRUE(),"Yes","")</f>
        <v/>
      </c>
    </row>
    <row r="259" customFormat="false" ht="83.55" hidden="false" customHeight="false" outlineLevel="0" collapsed="false">
      <c r="A259" s="35" t="s">
        <v>294</v>
      </c>
      <c r="B259" s="45" t="str">
        <f aca="false">VLOOKUP($A259,Questions!$A$2:$X$333,2,0)</f>
        <v>Include documentation describing the system's abilities to comply with the PCI DSS and any features or capabilities of the system that must be added or changed in order to operate in compliance with the standards.</v>
      </c>
      <c r="C259" s="199" t="str">
        <f aca="false">VLOOKUP($A259,'Institution Evaluation'!$A$56:$K$346,3,0)&amp;""</f>
        <v/>
      </c>
      <c r="D259" s="199" t="str">
        <f aca="false">VLOOKUP($A259,'Institution Evaluation'!$A$56:$K$346,4,0)&amp;""</f>
        <v>This question does not apply.</v>
      </c>
      <c r="E259" s="206" t="str">
        <f aca="false">VLOOKUP($A259,'Institution Evaluation'!$A$56:$K$346,5,0)&amp;""</f>
        <v>Based on the response to REQU-06 on the "START HERE" tab, this question does not apply to this product or service.</v>
      </c>
      <c r="F259" s="209" t="str">
        <f aca="false">VLOOKUP($A259,'Institution Evaluation'!$A$56:$K$346,6,0)&amp;""</f>
        <v/>
      </c>
      <c r="G259" s="197" t="str">
        <f aca="false">VLOOKUP($A259,'Institution Evaluation'!$A$56:$K$346,7,0)&amp;""</f>
        <v>Not scored</v>
      </c>
      <c r="H259" s="198" t="str">
        <f aca="false">VLOOKUP($A259,'Institution Evaluation'!$A$56:$K$346,8,0)&amp;""</f>
        <v/>
      </c>
      <c r="I259" s="199" t="str">
        <f aca="false">VLOOKUP($A259,'Institution Evaluation'!$A$56:$K$346,9,0)&amp;""</f>
        <v/>
      </c>
      <c r="J259" s="251" t="str">
        <f aca="false">VLOOKUP($A259,'Institution Evaluation'!$A$56:$K$346,10,0)&amp;""</f>
        <v/>
      </c>
      <c r="K259" s="200" t="str">
        <f aca="false">IF(VLOOKUP($A259,'Institution Evaluation'!$A$56:$K$346,10,0)=TRUE(),"Yes","")</f>
        <v/>
      </c>
      <c r="M259" s="51" t="s">
        <v>37</v>
      </c>
    </row>
    <row r="260" customFormat="false" ht="47.25" hidden="false" customHeight="true" outlineLevel="0" collapsed="false">
      <c r="A260" s="61" t="s">
        <v>50</v>
      </c>
    </row>
    <row r="261" customFormat="false" ht="34.5" hidden="true" customHeight="true" outlineLevel="0" collapsed="false"/>
    <row r="262" customFormat="false" ht="34.5" hidden="true" customHeight="true" outlineLevel="0" collapsed="false"/>
    <row r="263" customFormat="false" ht="34.5" hidden="true" customHeight="true" outlineLevel="0" collapsed="false"/>
    <row r="264" customFormat="false" ht="34.5" hidden="true" customHeight="true" outlineLevel="0" collapsed="false"/>
    <row r="265" customFormat="false" ht="34.5" hidden="true" customHeight="true" outlineLevel="0" collapsed="false"/>
  </sheetData>
  <mergeCells count="1">
    <mergeCell ref="A19:C19"/>
  </mergeCells>
  <conditionalFormatting sqref="H31:I31">
    <cfRule type="dataBar" priority="2">
      <dataBar showValue="1" minLength="10" maxLength="90">
        <cfvo type="num" val="0"/>
        <cfvo type="num" val="1"/>
        <color rgb="FF638EC6"/>
      </dataBar>
      <extLst>
        <ext xmlns:x14="http://schemas.microsoft.com/office/spreadsheetml/2009/9/main" uri="{B025F937-C7B1-47D3-B67F-A62EFF666E3E}">
          <x14:id>{F340BA86-B6B8-4231-811B-615D14DB9C4E}</x14:id>
        </ext>
      </extLst>
    </cfRule>
  </conditionalFormatting>
  <conditionalFormatting sqref="F21:G31">
    <cfRule type="dataBar" priority="3">
      <dataBar showValue="1" minLength="10" maxLength="90">
        <cfvo type="num" val="0"/>
        <cfvo type="num" val="1"/>
        <color rgb="FFD0DAF0"/>
      </dataBar>
      <extLst>
        <ext xmlns:x14="http://schemas.microsoft.com/office/spreadsheetml/2009/9/main" uri="{B025F937-C7B1-47D3-B67F-A62EFF666E3E}">
          <x14:id>{C4C0AD2E-832A-48A9-AEA2-3ABC4F145F40}</x14:id>
        </ext>
      </extLst>
    </cfRule>
  </conditionalFormatting>
  <dataValidations count="5">
    <dataValidation allowBlank="true" errorStyle="stop" operator="between" prompt="The HECVAT is built using a number of complex formulas. Editing this cell can break the functionality of the tool. " promptTitle="Warning!" showDropDown="false" showErrorMessage="true" showInputMessage="true" sqref="A45:E120 G46:G120 I46:I120 G130 I130 G135 I135 G142 I142 G145 I145 G150 I150 G160 I160 G164 I164 G170 I170 G173 I173 G189 I189 G192 I192 G199 I199 G207 I207 G212 I212 G217 I217 G247 I247" type="none">
      <formula1>0</formula1>
      <formula2>0</formula2>
    </dataValidation>
    <dataValidation allowBlank="true" errorStyle="stop" operator="between" prompt="This answer has been populated from the &quot;START HERE&quot; tab and does not need to be re-entered." showDropDown="false" showErrorMessage="true" showInputMessage="true" sqref="C11:C17" type="none">
      <formula1>0</formula1>
      <formula2>0</formula2>
    </dataValidation>
    <dataValidation allowBlank="true" errorStyle="stop" operator="between" prompt="The HECVAT is built using a number of complex formulas. Editing this cell can break the functionality of the tool. " showDropDown="false" showErrorMessage="true" showInputMessage="true" sqref="B2:J2 A3:J10 A11:B17 B20:I31 A35:K44" type="none">
      <formula1>0</formula1>
      <formula2>0</formula2>
    </dataValidation>
    <dataValidation allowBlank="true" errorStyle="stop" operator="between" showDropDown="false" showErrorMessage="true" showInputMessage="true" sqref="H47:H51 H53:H56 H58:H60 H62:H63 H65:H66 H68:H75 H77:H89 H91:H95 H97:H111 H113:H120" type="list">
      <formula1>'Auto Responses'!$J$7:$J$8</formula1>
      <formula2>0</formula2>
    </dataValidation>
    <dataValidation allowBlank="true" errorStyle="stop" operator="between" showDropDown="false" showErrorMessage="true" showInputMessage="true" sqref="J47:J51 J53:J56 J58:J60 J62:J63 J65:J66 J68:J75 J77:J89 J91:J95 J97:J111 J113:J120" type="list">
      <formula1>'Auto Responses'!$J$11:$J$14</formula1>
      <formula2>0</formula2>
    </dataValidation>
  </dataValidations>
  <hyperlinks>
    <hyperlink ref="A10" r:id="rId1" display="http://www.educause.edu/HECVAT"/>
    <hyperlink ref="G21" location="'Privacy Analyst Evaluation'!A47" display="#'Privacy Analyst Evaluation'.A47"/>
    <hyperlink ref="G22" location="'Privacy Analyst Evaluation'!A53" display="#'Privacy Analyst Evaluation'.A53"/>
    <hyperlink ref="G23" location="'Privacy Analyst Evaluation'!A58" display="#'Privacy Analyst Evaluation'.A58"/>
    <hyperlink ref="G24" location="'Privacy Analyst Evaluation'!A62" display="#'Privacy Analyst Evaluation'.A62"/>
    <hyperlink ref="G25" location="'Privacy Analyst Evaluation'!A65" display="#'Privacy Analyst Evaluation'.A65"/>
    <hyperlink ref="G26" location="'Privacy Analyst Evaluation'!A68" display="#'Privacy Analyst Evaluation'.A68"/>
    <hyperlink ref="G27" location="'Privacy Analyst Evaluation'!A77" display="#'Privacy Analyst Evaluation'.A77"/>
    <hyperlink ref="G28" location="'Privacy Analyst Evaluation'!A91" display="#'Privacy Analyst Evaluation'.A91"/>
    <hyperlink ref="G29" location="'Privacy Analyst Evaluation'!A97" display="#'Privacy Analyst Evaluation'.A97"/>
    <hyperlink ref="G30" location="'Privacy Analyst Evaluation'!A113" display="#'Privacy Analyst Evaluation'.A113"/>
    <hyperlink ref="F46" location="'Privacy Analyst Evaluation'!A1" display="Back to Scorecard"/>
    <hyperlink ref="F52" location="'Privacy Analyst Evaluation'!A1" display="Back to Scorecard"/>
    <hyperlink ref="F57" location="'Privacy Analyst Evaluation'!A1" display="Back to Scorecard"/>
    <hyperlink ref="F61" location="'Privacy Analyst Evaluation'!A1" display="Back to Scorecard"/>
    <hyperlink ref="F64" location="'Privacy Analyst Evaluation'!A1" display="Back to Scorecard"/>
    <hyperlink ref="F67" location="'Privacy Analyst Evaluation'!A1" display="Back to Scorecard"/>
    <hyperlink ref="F76" location="'Privacy Analyst Evaluation'!A1" display="Back to Scorecard"/>
    <hyperlink ref="F90" location="'Privacy Analyst Evaluation'!A1" display="Back to Scorecard"/>
    <hyperlink ref="F96" location="'Privacy Analyst Evaluation'!A1" display="Back to Scorecard"/>
    <hyperlink ref="F112" location="'Privacy Analyst Evaluation'!A1" display="Back to Scorecard"/>
    <hyperlink ref="F125" location="'Privacy Analyst Evaluation'!A1" display="Back to Scorecard"/>
    <hyperlink ref="F130" location="'Privacy Analyst Evaluation'!A1" display="Back to Scorecard"/>
    <hyperlink ref="F135" location="'Privacy Analyst Evaluation'!A1" display="Back to Scorecard"/>
    <hyperlink ref="F142" location="'Privacy Analyst Evaluation'!A1" display="Back to Scorecard"/>
    <hyperlink ref="F145" location="'Privacy Analyst Evaluation'!A1" display="Back to Scorecard"/>
    <hyperlink ref="F150" location="'Privacy Analyst Evaluation'!A1" display="Back to Scorecard"/>
    <hyperlink ref="F160" location="'Privacy Analyst Evaluation'!A1" display="Back to Scorecard"/>
    <hyperlink ref="F164" location="'Privacy Analyst Evaluation'!A1" display="Back to Scorecard"/>
    <hyperlink ref="F170" location="'Privacy Analyst Evaluation'!A1" display="Back to Scorecard"/>
    <hyperlink ref="F173" location="'Privacy Analyst Evaluation'!A1" display="Back to Scorecard"/>
    <hyperlink ref="F189" location="'Privacy Analyst Evaluation'!A1" display="Back to Scorecard"/>
    <hyperlink ref="F192" location="'Privacy Analyst Evaluation'!A1" display="Back to Scorecard"/>
    <hyperlink ref="F199" location="'Privacy Analyst Evaluation'!A1" display="Back to Scorecard"/>
    <hyperlink ref="F207" location="'Privacy Analyst Evaluation'!A1" display="Back to Scorecard"/>
    <hyperlink ref="F212" location="'Privacy Analyst Evaluation'!A1" display="Back to Scorecard"/>
    <hyperlink ref="F217" location="'Privacy Analyst Evaluation'!A1" display="Back to Scorecard"/>
    <hyperlink ref="F247" location="'Privacy Analyst Evaluation'!A1" display="Back to Scorecard"/>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extLst>
    <ext xmlns:x14="http://schemas.microsoft.com/office/spreadsheetml/2009/9/main" uri="{78C0D931-6437-407d-A8EE-F0AAD7539E65}">
      <x14:conditionalFormattings>
        <x14:conditionalFormatting xmlns:xm="http://schemas.microsoft.com/office/excel/2006/main">
          <x14:cfRule type="dataBar" id="{F340BA86-B6B8-4231-811B-615D14DB9C4E}">
            <x14:dataBar minLength="10" maxLength="90" axisPosition="none" gradient="false">
              <x14:cfvo type="num">
                <xm:f>0</xm:f>
              </x14:cfvo>
              <x14:cfvo type="num">
                <xm:f>1</xm:f>
              </x14:cfvo>
              <x14:negativeFillColor rgb="FFFF0000"/>
              <x14:axisColor rgb="FF000000"/>
            </x14:dataBar>
          </x14:cfRule>
          <xm:sqref>H31:I31</xm:sqref>
        </x14:conditionalFormatting>
        <x14:conditionalFormatting xmlns:xm="http://schemas.microsoft.com/office/excel/2006/main">
          <x14:cfRule type="dataBar" id="{C4C0AD2E-832A-48A9-AEA2-3ABC4F145F40}">
            <x14:dataBar minLength="10" maxLength="90" axisPosition="none" gradient="false">
              <x14:cfvo type="num">
                <xm:f>0</xm:f>
              </x14:cfvo>
              <x14:cfvo type="num">
                <xm:f>1</xm:f>
              </x14:cfvo>
              <x14:negativeFillColor rgb="FFFF0000"/>
              <x14:axisColor rgb="FF000000"/>
            </x14:dataBar>
          </x14:cfRule>
          <xm:sqref>F21:G31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ECCA0"/>
    <pageSetUpPr fitToPage="false"/>
  </sheetPr>
  <dimension ref="A1:F376"/>
  <sheetViews>
    <sheetView showFormulas="false" showGridLines="true" showRowColHeaders="true" showZeros="false" rightToLeft="false" tabSelected="true" showOutlineSymbols="true" defaultGridColor="true" view="normal" topLeftCell="A83" colorId="64" zoomScale="95" zoomScaleNormal="95" zoomScalePageLayoutView="100" workbookViewId="0">
      <selection pane="topLeft" activeCell="A2" activeCellId="0" sqref="A2"/>
    </sheetView>
  </sheetViews>
  <sheetFormatPr defaultColWidth="6.6015625" defaultRowHeight="15" customHeight="true" zeroHeight="true" outlineLevelRow="0" outlineLevelCol="0"/>
  <cols>
    <col collapsed="false" customWidth="true" hidden="false" outlineLevel="0" max="1" min="1" style="101" width="11.09"/>
    <col collapsed="false" customWidth="true" hidden="false" outlineLevel="0" max="2" min="2" style="252" width="57.79"/>
    <col collapsed="false" customWidth="true" hidden="false" outlineLevel="0" max="3" min="3" style="253" width="71.09"/>
    <col collapsed="false" customWidth="true" hidden="false" outlineLevel="0" max="4" min="4" style="254" width="80.3"/>
    <col collapsed="false" customWidth="false" hidden="false" outlineLevel="0" max="5" min="5" style="101" width="6.6"/>
    <col collapsed="false" customWidth="true" hidden="true" outlineLevel="0" max="6" min="6" style="101" width="9.34"/>
    <col collapsed="false" customWidth="false" hidden="true" outlineLevel="0" max="16384" min="7" style="101" width="6.6"/>
  </cols>
  <sheetData>
    <row r="1" customFormat="false" ht="198.5" hidden="true" customHeight="false" outlineLevel="0" collapsed="false">
      <c r="A1" s="101" t="s">
        <v>481</v>
      </c>
    </row>
    <row r="2" customFormat="false" ht="24.45" hidden="false" customHeight="false" outlineLevel="0" collapsed="false">
      <c r="A2" s="255" t="s">
        <v>482</v>
      </c>
      <c r="B2" s="255"/>
      <c r="C2" s="255"/>
      <c r="D2" s="256" t="s">
        <v>50</v>
      </c>
    </row>
    <row r="3" customFormat="false" ht="17.9" hidden="false" customHeight="false" outlineLevel="0" collapsed="false">
      <c r="A3" s="257" t="s">
        <v>483</v>
      </c>
      <c r="B3" s="258"/>
      <c r="C3" s="258"/>
      <c r="D3" s="259"/>
    </row>
    <row r="4" customFormat="false" ht="17.9" hidden="false" customHeight="false" outlineLevel="0" collapsed="false">
      <c r="A4" s="260" t="s">
        <v>484</v>
      </c>
      <c r="B4" s="258"/>
      <c r="C4" s="258"/>
      <c r="D4" s="259"/>
    </row>
    <row r="5" s="223" customFormat="true" ht="17.35" hidden="false" customHeight="false" outlineLevel="0" collapsed="false">
      <c r="A5" s="261" t="s">
        <v>485</v>
      </c>
      <c r="B5" s="258"/>
      <c r="C5" s="258"/>
      <c r="D5" s="259"/>
    </row>
    <row r="6" s="223" customFormat="true" ht="17.35" hidden="false" customHeight="false" outlineLevel="0" collapsed="false">
      <c r="A6" s="261" t="s">
        <v>486</v>
      </c>
      <c r="B6" s="258"/>
      <c r="C6" s="258"/>
      <c r="D6" s="262"/>
    </row>
    <row r="7" customFormat="false" ht="20.85" hidden="false" customHeight="false" outlineLevel="0" collapsed="false">
      <c r="A7" s="263" t="str">
        <f aca="false">VLOOKUP(LEFT($A8,4),'Auto Responses'!$N$4:$O$38,2,0)&amp;""</f>
        <v> General Information</v>
      </c>
      <c r="B7" s="31"/>
      <c r="C7" s="264" t="str">
        <f aca="false">Questions!$S$2</f>
        <v>Reason for Question</v>
      </c>
      <c r="D7" s="264" t="str">
        <f aca="false">Questions!$T$2</f>
        <v>Follow-Up Inquiries/Responses</v>
      </c>
    </row>
    <row r="8" customFormat="false" ht="16.4" hidden="false" customHeight="false" outlineLevel="0" collapsed="false">
      <c r="A8" s="265" t="s">
        <v>4</v>
      </c>
      <c r="B8" s="265" t="str">
        <f aca="false">VLOOKUP($A8,Questions!$A$3:$X$333,2,0)&amp;""</f>
        <v>Solution Provider Name</v>
      </c>
      <c r="C8" s="265" t="str">
        <f aca="false">VLOOKUP($A8,Questions!$A$3:$X$333,19,0)&amp;""</f>
        <v/>
      </c>
      <c r="D8" s="265" t="str">
        <f aca="false">VLOOKUP($A8,Questions!$A$3:$X$333,20,0)&amp;""</f>
        <v/>
      </c>
    </row>
    <row r="9" customFormat="false" ht="16.4" hidden="false" customHeight="false" outlineLevel="0" collapsed="false">
      <c r="A9" s="265" t="s">
        <v>6</v>
      </c>
      <c r="B9" s="265" t="str">
        <f aca="false">VLOOKUP($A9,Questions!$A$3:$X$333,2,0)&amp;""</f>
        <v>Solution Name</v>
      </c>
      <c r="C9" s="265" t="str">
        <f aca="false">VLOOKUP($A9,Questions!$A$3:$X$333,19,0)&amp;""</f>
        <v/>
      </c>
      <c r="D9" s="265" t="str">
        <f aca="false">VLOOKUP($A9,Questions!$A$3:$X$333,20,0)&amp;""</f>
        <v/>
      </c>
    </row>
    <row r="10" customFormat="false" ht="16.4" hidden="false" customHeight="false" outlineLevel="0" collapsed="false">
      <c r="A10" s="265" t="s">
        <v>7</v>
      </c>
      <c r="B10" s="265" t="str">
        <f aca="false">VLOOKUP($A10,Questions!$A$3:$X$333,2,0)&amp;""</f>
        <v>Solution Description</v>
      </c>
      <c r="C10" s="265" t="str">
        <f aca="false">VLOOKUP($A10,Questions!$A$3:$X$333,19,0)&amp;""</f>
        <v/>
      </c>
      <c r="D10" s="265" t="str">
        <f aca="false">VLOOKUP($A10,Questions!$A$3:$X$333,20,0)&amp;""</f>
        <v/>
      </c>
    </row>
    <row r="11" customFormat="false" ht="16.4" hidden="false" customHeight="false" outlineLevel="0" collapsed="false">
      <c r="A11" s="265" t="s">
        <v>9</v>
      </c>
      <c r="B11" s="265" t="str">
        <f aca="false">VLOOKUP($A11,Questions!$A$3:$X$333,2,0)&amp;""</f>
        <v>Solution Provider Contact Name</v>
      </c>
      <c r="C11" s="265" t="str">
        <f aca="false">VLOOKUP($A11,Questions!$A$3:$X$333,19,0)&amp;""</f>
        <v/>
      </c>
      <c r="D11" s="265" t="str">
        <f aca="false">VLOOKUP($A11,Questions!$A$3:$X$333,20,0)&amp;""</f>
        <v/>
      </c>
    </row>
    <row r="12" customFormat="false" ht="16.4" hidden="false" customHeight="false" outlineLevel="0" collapsed="false">
      <c r="A12" s="265" t="s">
        <v>11</v>
      </c>
      <c r="B12" s="265" t="str">
        <f aca="false">VLOOKUP($A12,Questions!$A$3:$X$333,2,0)&amp;""</f>
        <v>Solution Provider Contact Title</v>
      </c>
      <c r="C12" s="265" t="str">
        <f aca="false">VLOOKUP($A12,Questions!$A$3:$X$333,19,0)&amp;""</f>
        <v/>
      </c>
      <c r="D12" s="265" t="str">
        <f aca="false">VLOOKUP($A12,Questions!$A$3:$X$333,20,0)&amp;""</f>
        <v/>
      </c>
    </row>
    <row r="13" customFormat="false" ht="16.4" hidden="false" customHeight="false" outlineLevel="0" collapsed="false">
      <c r="A13" s="265" t="s">
        <v>13</v>
      </c>
      <c r="B13" s="265" t="str">
        <f aca="false">VLOOKUP($A13,Questions!$A$3:$X$333,2,0)&amp;""</f>
        <v>Solution Provider Contact Email</v>
      </c>
      <c r="C13" s="265" t="str">
        <f aca="false">VLOOKUP($A13,Questions!$A$3:$X$333,19,0)&amp;""</f>
        <v/>
      </c>
      <c r="D13" s="265" t="str">
        <f aca="false">VLOOKUP($A13,Questions!$A$3:$X$333,20,0)&amp;""</f>
        <v/>
      </c>
    </row>
    <row r="14" customFormat="false" ht="16.4" hidden="false" customHeight="false" outlineLevel="0" collapsed="false">
      <c r="A14" s="265" t="s">
        <v>15</v>
      </c>
      <c r="B14" s="265" t="str">
        <f aca="false">VLOOKUP($A14,Questions!$A$3:$X$333,2,0)&amp;""</f>
        <v>Solution Provider Contact Phone Number</v>
      </c>
      <c r="C14" s="265" t="str">
        <f aca="false">VLOOKUP($A14,Questions!$A$3:$X$333,19,0)&amp;""</f>
        <v/>
      </c>
      <c r="D14" s="265" t="str">
        <f aca="false">VLOOKUP($A14,Questions!$A$3:$X$333,20,0)&amp;""</f>
        <v/>
      </c>
    </row>
    <row r="15" customFormat="false" ht="16.4" hidden="false" customHeight="false" outlineLevel="0" collapsed="false">
      <c r="A15" s="265" t="s">
        <v>17</v>
      </c>
      <c r="B15" s="265" t="str">
        <f aca="false">VLOOKUP($A15,Questions!$A$3:$X$333,2,0)&amp;""</f>
        <v>Country of Company Headquarters</v>
      </c>
      <c r="C15" s="265" t="str">
        <f aca="false">VLOOKUP($A15,Questions!$A$3:$X$333,19,0)&amp;""</f>
        <v/>
      </c>
      <c r="D15" s="265" t="str">
        <f aca="false">VLOOKUP($A15,Questions!$A$3:$X$333,20,0)&amp;""</f>
        <v/>
      </c>
    </row>
    <row r="16" customFormat="false" ht="16.4" hidden="false" customHeight="false" outlineLevel="0" collapsed="false">
      <c r="A16" s="265" t="s">
        <v>19</v>
      </c>
      <c r="B16" s="265" t="str">
        <f aca="false">VLOOKUP($A16,Questions!$A$3:$X$333,2,0)&amp;""</f>
        <v>Employee Work Locations (all)</v>
      </c>
      <c r="C16" s="265" t="str">
        <f aca="false">VLOOKUP($A16,Questions!$A$3:$X$333,19,0)&amp;""</f>
        <v>Determines where solution provider employees will be physically located.</v>
      </c>
      <c r="D16" s="265" t="str">
        <f aca="false">VLOOKUP($A16,Questions!$A$3:$X$333,20,0)&amp;""</f>
        <v>Follow-up inquiries will be institution/implementation specific.</v>
      </c>
      <c r="E16" s="51" t="s">
        <v>487</v>
      </c>
    </row>
    <row r="17" customFormat="false" ht="20.85" hidden="false" customHeight="false" outlineLevel="0" collapsed="false">
      <c r="A17" s="31" t="str">
        <f aca="false">VLOOKUP(LEFT($A18,4),'Auto Responses'!$N$4:$O$38,2,0)&amp;""</f>
        <v> Company Information</v>
      </c>
      <c r="B17" s="31"/>
      <c r="C17" s="264" t="str">
        <f aca="false">Questions!$S$2</f>
        <v>Reason for Question</v>
      </c>
      <c r="D17" s="264" t="str">
        <f aca="false">Questions!$T$2</f>
        <v>Follow-Up Inquiries/Responses</v>
      </c>
    </row>
    <row r="18" customFormat="false" ht="76.1" hidden="false" customHeight="false" outlineLevel="0" collapsed="false">
      <c r="A18" s="265" t="s">
        <v>25</v>
      </c>
      <c r="B18" s="265" t="str">
        <f aca="false">VLOOKUP($A18,Questions!$A$3:$X$333,2,0)&amp;""</f>
        <v>Do you have a dedicated software and system development team(s) (e.g., customer support, implementation, product management, etc.)?*</v>
      </c>
      <c r="C18" s="265" t="str">
        <f aca="false">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265" t="str">
        <f aca="false">VLOOKUP($A18,Questions!$A$3:$X$333,20,0)&amp;""</f>
        <v>Follow-up inquiries for solution provider team strategies will be unique to your institution and may depend on the underlying infrastructures needed to support a system for your specific use case.</v>
      </c>
    </row>
    <row r="19" customFormat="false" ht="43.5" hidden="false" customHeight="true" outlineLevel="0" collapsed="false">
      <c r="A19" s="265" t="s">
        <v>28</v>
      </c>
      <c r="B19" s="265" t="str">
        <f aca="false">VLOOKUP($A19,Questions!$A$3:$X$333,2,0)&amp;""</f>
        <v>Describe your organization’s business background and ownership structure, including all parent and subsidiary relationships.</v>
      </c>
      <c r="C19" s="265" t="str">
        <f aca="false">VLOOKUP($A19,Questions!$A$3:$X$333,19,0)&amp;""</f>
        <v>This information defines the scale of company (support, resources, skillsets), general information about the organization that may be concerning.</v>
      </c>
      <c r="D19" s="265" t="str">
        <f aca="false">VLOOKUP($A19,Questions!$A$3:$X$333,20,0)&amp;""</f>
        <v>Follow-up responses to this one are normally unique to their response. Vague answers here usually result in some footprinting of a solution provider to determine their "reputation."</v>
      </c>
    </row>
    <row r="20" customFormat="false" ht="67.5" hidden="false" customHeight="true" outlineLevel="0" collapsed="false">
      <c r="A20" s="265" t="s">
        <v>30</v>
      </c>
      <c r="B20" s="265" t="str">
        <f aca="false">VLOOKUP($A20,Questions!$A$3:$X$333,2,0)&amp;""</f>
        <v>Have you operated without unplanned disruptions to this solution in the past 12 months?</v>
      </c>
      <c r="C20" s="265" t="str">
        <f aca="false">VLOOKUP($A20,Questions!$A$3:$X$333,19,0)&amp;""</f>
        <v>We want transparency from the solution provider, and an honest answer to this question, regardless of the response, is a good step in building trust.</v>
      </c>
      <c r="D20" s="265" t="str">
        <f aca="false">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customFormat="false" ht="67.5" hidden="false" customHeight="true" outlineLevel="0" collapsed="false">
      <c r="A21" s="265" t="s">
        <v>33</v>
      </c>
      <c r="B21" s="265" t="str">
        <f aca="false">VLOOKUP($A21,Questions!$A$3:$X$333,2,0)&amp;""</f>
        <v>Do you have a dedicated information security staff or office?</v>
      </c>
      <c r="C21" s="265" t="str">
        <f aca="false">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265" t="str">
        <f aca="false">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customFormat="false" ht="64.5" hidden="false" customHeight="true" outlineLevel="0" collapsed="false">
      <c r="A22" s="265" t="s">
        <v>35</v>
      </c>
      <c r="B22" s="265" t="str">
        <f aca="false">VLOOKUP($A22,Questions!$A$3:$X$333,2,0)&amp;""</f>
        <v>Use this area to share information about your environment that will assist those who are assessing your company's data security program.</v>
      </c>
      <c r="C22" s="265" t="str">
        <f aca="false">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265" t="str">
        <f aca="false">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51" t="s">
        <v>487</v>
      </c>
    </row>
    <row r="23" customFormat="false" ht="20.85" hidden="false" customHeight="false" outlineLevel="0" collapsed="false">
      <c r="A23" s="31" t="str">
        <f aca="false">VLOOKUP(LEFT($A24,4),'Auto Responses'!$N$4:$O$38,2,0)&amp;""</f>
        <v> Required Questions</v>
      </c>
      <c r="B23" s="31"/>
      <c r="C23" s="264" t="str">
        <f aca="false">Questions!$S$2</f>
        <v>Reason for Question</v>
      </c>
      <c r="D23" s="264" t="str">
        <f aca="false">Questions!$T$2</f>
        <v>Follow-Up Inquiries/Responses</v>
      </c>
    </row>
    <row r="24" customFormat="false" ht="17.35" hidden="false" customHeight="false" outlineLevel="0" collapsed="false">
      <c r="A24" s="266" t="s">
        <v>488</v>
      </c>
      <c r="B24" s="267"/>
      <c r="C24" s="268"/>
      <c r="D24" s="268"/>
      <c r="E24" s="269"/>
      <c r="F24" s="269"/>
    </row>
    <row r="25" customFormat="false" ht="36.75" hidden="false" customHeight="true" outlineLevel="0" collapsed="false">
      <c r="A25" s="265" t="s">
        <v>38</v>
      </c>
      <c r="B25" s="265" t="str">
        <f aca="false">VLOOKUP($A25,Questions!$A$3:$X$333,2,0)&amp;""</f>
        <v>Are you offering a cloud-based product?</v>
      </c>
      <c r="C25" s="265" t="s">
        <v>489</v>
      </c>
      <c r="D25" s="265" t="str">
        <f aca="false">VLOOKUP($A25,Questions!$A$3:$X$333,19,0)&amp;""</f>
        <v/>
      </c>
    </row>
    <row r="26" customFormat="false" ht="38.25" hidden="false" customHeight="true" outlineLevel="0" collapsed="false">
      <c r="A26" s="265" t="s">
        <v>40</v>
      </c>
      <c r="B26" s="265" t="str">
        <f aca="false">VLOOKUP($A26,Questions!$A$3:$X$333,2,0)&amp;""</f>
        <v>Does your product or service have an interface?</v>
      </c>
      <c r="C26" s="265" t="s">
        <v>490</v>
      </c>
      <c r="D26" s="265" t="str">
        <f aca="false">VLOOKUP($A26,Questions!$A$3:$X$333,19,0)&amp;""</f>
        <v/>
      </c>
    </row>
    <row r="27" customFormat="false" ht="16.4" hidden="false" customHeight="false" outlineLevel="0" collapsed="false">
      <c r="A27" s="265" t="s">
        <v>42</v>
      </c>
      <c r="B27" s="265" t="str">
        <f aca="false">VLOOKUP($A27,Questions!$A$3:$X$333,2,0)&amp;""</f>
        <v>Are you providing consulting services?</v>
      </c>
      <c r="C27" s="265" t="s">
        <v>491</v>
      </c>
      <c r="D27" s="265" t="str">
        <f aca="false">VLOOKUP($A27,Questions!$A$3:$X$333,19,0)&amp;""</f>
        <v/>
      </c>
    </row>
    <row r="28" customFormat="false" ht="31.3" hidden="false" customHeight="false" outlineLevel="0" collapsed="false">
      <c r="A28" s="265" t="s">
        <v>44</v>
      </c>
      <c r="B28" s="265" t="str">
        <f aca="false">VLOOKUP($A28,Questions!$A$3:$X$333,2,0)&amp;""</f>
        <v>Does your solution have AI features, or are there plans to implement AI features in the next 12 months?</v>
      </c>
      <c r="C28" s="265" t="s">
        <v>492</v>
      </c>
      <c r="D28" s="265" t="str">
        <f aca="false">VLOOKUP($A28,Questions!$A$3:$X$333,19,0)&amp;""</f>
        <v/>
      </c>
    </row>
    <row r="29" customFormat="false" ht="46.25" hidden="false" customHeight="false" outlineLevel="0" collapsed="false">
      <c r="A29" s="265" t="s">
        <v>45</v>
      </c>
      <c r="B29" s="265" t="str">
        <f aca="false">VLOOKUP($A29,Questions!$A$3:$X$333,2,0)&amp;""</f>
        <v>Does your solution process protected health information (PHI) or any data covered by the Health Insurance Portability and Accountability Act (HIPAA)?</v>
      </c>
      <c r="C29" s="265" t="s">
        <v>493</v>
      </c>
      <c r="D29" s="265" t="str">
        <f aca="false">VLOOKUP($A29,Questions!$A$3:$X$333,19,0)&amp;""</f>
        <v/>
      </c>
    </row>
    <row r="30" customFormat="false" ht="33.75" hidden="false" customHeight="true" outlineLevel="0" collapsed="false">
      <c r="A30" s="265" t="s">
        <v>46</v>
      </c>
      <c r="B30" s="265" t="str">
        <f aca="false">VLOOKUP($A30,Questions!$A$3:$X$333,2,0)&amp;""</f>
        <v>Is the solution designed to process, store, or transmit credit card information?</v>
      </c>
      <c r="C30" s="265" t="s">
        <v>494</v>
      </c>
      <c r="D30" s="265" t="str">
        <f aca="false">VLOOKUP($A30,Questions!$A$3:$X$333,19,0)&amp;""</f>
        <v/>
      </c>
    </row>
    <row r="31" customFormat="false" ht="66.75" hidden="false" customHeight="true" outlineLevel="0" collapsed="false">
      <c r="A31" s="265" t="s">
        <v>47</v>
      </c>
      <c r="B31" s="265" t="str">
        <f aca="false">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265" t="s">
        <v>495</v>
      </c>
      <c r="D31" s="265" t="str">
        <f aca="false">VLOOKUP($A31,Questions!$A$3:$X$333,19,0)&amp;""</f>
        <v/>
      </c>
      <c r="E31" s="51" t="s">
        <v>487</v>
      </c>
    </row>
    <row r="32" customFormat="false" ht="20.85" hidden="false" customHeight="false" outlineLevel="0" collapsed="false">
      <c r="A32" s="31" t="str">
        <f aca="false">VLOOKUP(LEFT($A33,4),'Auto Responses'!$N$4:$O$38,2,0)&amp;""</f>
        <v> Documentation</v>
      </c>
      <c r="B32" s="31"/>
      <c r="C32" s="264" t="str">
        <f aca="false">Questions!$S$2</f>
        <v>Reason for Question</v>
      </c>
      <c r="D32" s="264" t="str">
        <f aca="false">Questions!$T$2</f>
        <v>Follow-Up Inquiries/Responses</v>
      </c>
    </row>
    <row r="33" customFormat="false" ht="42" hidden="false" customHeight="true" outlineLevel="0" collapsed="false">
      <c r="A33" s="265" t="s">
        <v>52</v>
      </c>
      <c r="B33" s="265" t="str">
        <f aca="false">VLOOKUP($A33,Questions!$A$3:$X$333,2,0)&amp;""</f>
        <v>Do you have a well-documented business continuity plan (BCP), with a clear owner, that is tested annually?*</v>
      </c>
      <c r="C33" s="265" t="str">
        <f aca="false">VLOOKUP($A33,Questions!$A$3:$X$333,19,0)&amp;""</f>
        <v/>
      </c>
      <c r="D33" s="265" t="str">
        <f aca="false">VLOOKUP($A33,Questions!$A$3:$X$333,20,0)&amp;""</f>
        <v/>
      </c>
    </row>
    <row r="34" customFormat="false" ht="38.25" hidden="false" customHeight="true" outlineLevel="0" collapsed="false">
      <c r="A34" s="265" t="s">
        <v>54</v>
      </c>
      <c r="B34" s="265" t="str">
        <f aca="false">VLOOKUP($A34,Questions!$A$3:$X$333,2,0)&amp;""</f>
        <v>Do you have a well-documented disaster recovery plan (DRP), with a clear owner, that is tested annually?*</v>
      </c>
      <c r="C34" s="265" t="str">
        <f aca="false">VLOOKUP($A34,Questions!$A$3:$X$333,19,0)&amp;""</f>
        <v/>
      </c>
      <c r="D34" s="265" t="str">
        <f aca="false">VLOOKUP($A34,Questions!$A$3:$X$333,20,0)&amp;""</f>
        <v/>
      </c>
    </row>
    <row r="35" customFormat="false" ht="35.25" hidden="false" customHeight="true" outlineLevel="0" collapsed="false">
      <c r="A35" s="265" t="s">
        <v>55</v>
      </c>
      <c r="B35" s="265" t="str">
        <f aca="false">VLOOKUP($A35,Questions!$A$3:$X$333,2,0)&amp;""</f>
        <v>Have you undergone a SSAE 18/SOC 2 audit?</v>
      </c>
      <c r="C35" s="265" t="str">
        <f aca="false">VLOOKUP($A35,Questions!$A$3:$X$333,19,0)&amp;""</f>
        <v>SSAE 18 and SOC2 audits are standard documentation, relevant to institutions requiring a solution provider to undergo SSAE 18 audits.</v>
      </c>
      <c r="D35" s="265" t="str">
        <f aca="false">VLOOKUP($A35,Questions!$A$3:$X$333,20,0)&amp;""</f>
        <v>Follow-up inquiries for SSAE 18 content will be institution/implementation specific.</v>
      </c>
    </row>
    <row r="36" customFormat="false" ht="61.15" hidden="false" customHeight="false" outlineLevel="0" collapsed="false">
      <c r="A36" s="265" t="s">
        <v>56</v>
      </c>
      <c r="B36" s="265" t="str">
        <f aca="false">VLOOKUP($A36,Questions!$A$3:$X$333,2,0)&amp;""</f>
        <v>Do you conform with a specific industry standard security framework (e.g., NIST Cybersecurity Framework, CIS Controls, ISO 27001, etc.)?</v>
      </c>
      <c r="C36" s="265" t="str">
        <f aca="false">VLOOKUP($A36,Questions!$A$3:$X$333,19,0)&amp;""</f>
        <v>The details of the standard are not the focus here; it is the fact that a solution provider builds their environment around a standard and that they continually evaluate and assess their security programs.</v>
      </c>
      <c r="D36" s="265" t="str">
        <f aca="false">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customFormat="false" ht="64.5" hidden="false" customHeight="true" outlineLevel="0" collapsed="false">
      <c r="A37" s="265" t="s">
        <v>57</v>
      </c>
      <c r="B37" s="265" t="str">
        <f aca="false">VLOOKUP($A37,Questions!$A$3:$X$333,2,0)&amp;""</f>
        <v>Can you provide overall system and/or application architecture diagrams, including a full description of the data flow for all components of the system?</v>
      </c>
      <c r="C37" s="265" t="str">
        <f aca="false">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265" t="str">
        <f aca="false">VLOOKUP($A37,Questions!$A$3:$X$333,20,0)&amp;""</f>
        <v>Inquire about any privacy language the solution provider may have. It may not be ideal but there may be something available to assess or enough to have your legal counsel or policy/privacy professionals review.</v>
      </c>
    </row>
    <row r="38" customFormat="false" ht="63.75" hidden="false" customHeight="true" outlineLevel="0" collapsed="false">
      <c r="A38" s="265" t="s">
        <v>59</v>
      </c>
      <c r="B38" s="265" t="str">
        <f aca="false">VLOOKUP($A38,Questions!$A$3:$X$333,2,0)&amp;""</f>
        <v>Does your organization have a data privacy policy?</v>
      </c>
      <c r="C38" s="265" t="str">
        <f aca="false">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265" t="str">
        <f aca="false">VLOOKUP($A38,Questions!$A$3:$X$333,20,0)&amp;""</f>
        <v>Inquire about any privacy language the solution provider may have. It may not be ideal but there may be something available to assess or enough to have your legal counsel or policy/privacy professionals review.</v>
      </c>
    </row>
    <row r="39" customFormat="false" ht="78" hidden="false" customHeight="true" outlineLevel="0" collapsed="false">
      <c r="A39" s="265" t="s">
        <v>61</v>
      </c>
      <c r="B39" s="265" t="str">
        <f aca="false">VLOOKUP($A39,Questions!$A$3:$X$333,2,0)&amp;""</f>
        <v>Do you have a documented, and currently implemented, employee onboarding and offboarding policy?</v>
      </c>
      <c r="C39" s="265" t="str">
        <f aca="false">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265" t="str">
        <f aca="false">VLOOKUP($A39,Questions!$A$3:$X$333,20,0)&amp;""</f>
        <v>Unsatisfactory answers should be met with questions about access control authority, roles and responsibilities (of access grantors), administrative privileges within the solution provider's infrastructure(s), etc.</v>
      </c>
      <c r="E39" s="51" t="s">
        <v>487</v>
      </c>
    </row>
    <row r="40" customFormat="false" ht="20.85" hidden="false" customHeight="false" outlineLevel="0" collapsed="false">
      <c r="A40" s="31" t="str">
        <f aca="false">VLOOKUP(LEFT($A41,4),'Auto Responses'!$N$4:$O$38,2,0)&amp;""</f>
        <v> IT Accessibility</v>
      </c>
      <c r="B40" s="31"/>
      <c r="C40" s="264" t="str">
        <f aca="false">Questions!$S$2</f>
        <v>Reason for Question</v>
      </c>
      <c r="D40" s="264" t="str">
        <f aca="false">Questions!$T$2</f>
        <v>Follow-Up Inquiries/Responses</v>
      </c>
    </row>
    <row r="41" customFormat="false" ht="16.4" hidden="false" customHeight="false" outlineLevel="0" collapsed="false">
      <c r="A41" s="265" t="s">
        <v>213</v>
      </c>
      <c r="B41" s="265" t="str">
        <f aca="false">VLOOKUP($A41,Questions!$A$3:$X$333,2,0)&amp;""</f>
        <v>Solution Provider Accessibility Contact Name</v>
      </c>
      <c r="C41" s="265" t="str">
        <f aca="false">VLOOKUP($A41,Questions!$A$3:$X$333,19,0)&amp;""</f>
        <v/>
      </c>
      <c r="D41" s="265" t="str">
        <f aca="false">VLOOKUP($A41,Questions!$A$3:$X$333,20,0)&amp;""</f>
        <v/>
      </c>
    </row>
    <row r="42" customFormat="false" ht="16.4" hidden="false" customHeight="false" outlineLevel="0" collapsed="false">
      <c r="A42" s="265" t="s">
        <v>215</v>
      </c>
      <c r="B42" s="265" t="str">
        <f aca="false">VLOOKUP($A42,Questions!$A$3:$X$333,2,0)&amp;""</f>
        <v>Solution Provider Accessibility Contact Title</v>
      </c>
      <c r="C42" s="265" t="str">
        <f aca="false">VLOOKUP($A42,Questions!$A$3:$X$333,19,0)&amp;""</f>
        <v/>
      </c>
      <c r="D42" s="265" t="str">
        <f aca="false">VLOOKUP($A42,Questions!$A$3:$X$333,20,0)&amp;""</f>
        <v/>
      </c>
    </row>
    <row r="43" customFormat="false" ht="16.4" hidden="false" customHeight="false" outlineLevel="0" collapsed="false">
      <c r="A43" s="265" t="s">
        <v>216</v>
      </c>
      <c r="B43" s="265" t="str">
        <f aca="false">VLOOKUP($A43,Questions!$A$3:$X$333,2,0)&amp;""</f>
        <v>Solution Provider Accessibility Contact Email</v>
      </c>
      <c r="C43" s="265" t="str">
        <f aca="false">VLOOKUP($A43,Questions!$A$3:$X$333,19,0)&amp;""</f>
        <v/>
      </c>
      <c r="D43" s="265" t="str">
        <f aca="false">VLOOKUP($A43,Questions!$A$3:$X$333,20,0)&amp;""</f>
        <v/>
      </c>
    </row>
    <row r="44" customFormat="false" ht="16.4" hidden="false" customHeight="false" outlineLevel="0" collapsed="false">
      <c r="A44" s="265" t="s">
        <v>218</v>
      </c>
      <c r="B44" s="265" t="str">
        <f aca="false">VLOOKUP($A44,Questions!$A$3:$X$333,2,0)&amp;""</f>
        <v>Solution Provider Accessibility Contact Phone Number</v>
      </c>
      <c r="C44" s="265" t="str">
        <f aca="false">VLOOKUP($A44,Questions!$A$3:$X$333,19,0)&amp;""</f>
        <v/>
      </c>
      <c r="D44" s="265" t="str">
        <f aca="false">VLOOKUP($A44,Questions!$A$3:$X$333,20,0)&amp;""</f>
        <v/>
      </c>
    </row>
    <row r="45" customFormat="false" ht="16.4" hidden="false" customHeight="false" outlineLevel="0" collapsed="false">
      <c r="A45" s="265" t="s">
        <v>219</v>
      </c>
      <c r="B45" s="265" t="str">
        <f aca="false">VLOOKUP($A45,Questions!$A$3:$X$333,2,0)&amp;""</f>
        <v>Web Link to Accessibility Statement or VPAT</v>
      </c>
      <c r="C45" s="265" t="str">
        <f aca="false">VLOOKUP($A45,Questions!$A$3:$X$333,19,0)&amp;""</f>
        <v/>
      </c>
      <c r="D45" s="265" t="str">
        <f aca="false">VLOOKUP($A45,Questions!$A$3:$X$333,20,0)&amp;""</f>
        <v/>
      </c>
    </row>
    <row r="46" customFormat="false" ht="91" hidden="false" customHeight="false" outlineLevel="0" collapsed="false">
      <c r="A46" s="265" t="s">
        <v>221</v>
      </c>
      <c r="B46" s="265" t="str">
        <f aca="false">VLOOKUP($A46,Questions!$A$3:$X$333,2,0)&amp;""</f>
        <v>Has a VPAT or ACR been created or updated for the solution and version under consideration within the past 12 months?*</v>
      </c>
      <c r="C46" s="265" t="str">
        <f aca="false">VLOOKUP($A46,Questions!$A$3:$X$333,19,0)&amp;""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46" s="265" t="str">
        <f aca="false">VLOOKUP($A46,Questions!$A$3:$X$333,20,0)&amp;""</f>
        <v>Cross-reference Accessibility Conformance Reports (ACR) with any answers from ITAC-14 about product roadmaps for accessibility improvements.</v>
      </c>
    </row>
    <row r="47" customFormat="false" ht="55.5" hidden="false" customHeight="true" outlineLevel="0" collapsed="false">
      <c r="A47" s="265" t="s">
        <v>223</v>
      </c>
      <c r="B47" s="265" t="str">
        <f aca="false">VLOOKUP($A47,Questions!$A$3:$X$333,2,0)&amp;""</f>
        <v>Will your company agree to meet your stated accessibility standard or WCAG 2.1 AA as part of your contractual agreement for the solution?*</v>
      </c>
      <c r="C47" s="265" t="str">
        <f aca="false">VLOOKUP($A47,Questions!$A$3:$X$333,19,0)&amp;""</f>
        <v>Federal regulation requires that technology products conform to WCAG 2.1 AA. Technology platforms that do not substantially conform to this standard put schools at risk of not complying with these requirements. </v>
      </c>
      <c r="D47" s="265" t="str">
        <f aca="false">VLOOKUP($A47,Questions!$A$3:$X$333,20,0)&amp;""</f>
        <v/>
      </c>
    </row>
    <row r="48" customFormat="false" ht="70.5" hidden="false" customHeight="true" outlineLevel="0" collapsed="false">
      <c r="A48" s="265" t="s">
        <v>224</v>
      </c>
      <c r="B48" s="265" t="str">
        <f aca="false">VLOOKUP($A48,Questions!$A$3:$X$333,2,0)&amp;""</f>
        <v>Does the solution substantially conform to WCAG 2.1 AA?*</v>
      </c>
      <c r="C48" s="265" t="str">
        <f aca="false">VLOOKUP($A48,Questions!$A$3:$X$333,19,0)&amp;""</f>
        <v>Federal regulation requires that technology products conform to WCAG 2.1 AA. Technology platforms that do not substantially conform to this standard put schools at risk of not complying with these requirements. </v>
      </c>
      <c r="D48" s="265" t="str">
        <f aca="false">VLOOKUP($A48,Questions!$A$3:$X$333,20,0)&amp;""</f>
        <v/>
      </c>
    </row>
    <row r="49" customFormat="false" ht="36" hidden="false" customHeight="true" outlineLevel="0" collapsed="false">
      <c r="A49" s="265" t="s">
        <v>227</v>
      </c>
      <c r="B49" s="265" t="str">
        <f aca="false">VLOOKUP($A49,Questions!$A$3:$X$333,2,0)&amp;""</f>
        <v>Do you have a documented and implemented process for reporting and tracking accessibility issues?*</v>
      </c>
      <c r="C49" s="265" t="str">
        <f aca="false">VLOOKUP($A49,Questions!$A$3:$X$333,19,0)&amp;""</f>
        <v/>
      </c>
      <c r="D49" s="265" t="str">
        <f aca="false">VLOOKUP($A49,Questions!$A$3:$X$333,20,0)&amp;""</f>
        <v>What is the prioritization of accessibility issues received, and how are they tracked? Is there a regular cadence for tracking and addressing accessibility barriers?</v>
      </c>
    </row>
    <row r="50" customFormat="false" ht="78.75" hidden="false" customHeight="true" outlineLevel="0" collapsed="false">
      <c r="A50" s="265" t="s">
        <v>229</v>
      </c>
      <c r="B50" s="265" t="str">
        <f aca="false">VLOOKUP($A50,Questions!$A$3:$X$333,2,0)&amp;""</f>
        <v>Do you have documentation to support the accessibility features of your solution?</v>
      </c>
      <c r="C50" s="265" t="str">
        <f aca="false">VLOOKUP($A50,Questions!$A$3:$X$333,19,0)&amp;""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50" s="265" t="str">
        <f aca="false">VLOOKUP($A50,Questions!$A$3:$X$333,20,0)&amp;""</f>
        <v>If claims are made about accessibility and there is no supporting documentation on how they can be achieved, ensure that intended configurations and uses of the product in question were assessed for any accessibility documentation or claims.</v>
      </c>
    </row>
    <row r="51" customFormat="false" ht="64.5" hidden="false" customHeight="true" outlineLevel="0" collapsed="false">
      <c r="A51" s="265" t="s">
        <v>231</v>
      </c>
      <c r="B51" s="265" t="str">
        <f aca="false">VLOOKUP($A51,Questions!$A$3:$X$333,2,0)&amp;""</f>
        <v>Has a third-party expert conducted an audit of the most recent version of your solution?</v>
      </c>
      <c r="C51" s="265" t="str">
        <f aca="false">VLOOKUP($A51,Questions!$A$3:$X$333,19,0)&amp;""</f>
        <v>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51" s="265" t="str">
        <f aca="false">VLOOKUP($A51,Questions!$A$3:$X$333,20,0)&amp;""</f>
        <v/>
      </c>
    </row>
    <row r="52" customFormat="false" ht="109.5" hidden="false" customHeight="true" outlineLevel="0" collapsed="false">
      <c r="A52" s="265" t="s">
        <v>234</v>
      </c>
      <c r="B52" s="265" t="str">
        <f aca="false">VLOOKUP($A52,Questions!$A$3:$X$333,2,0)&amp;""</f>
        <v>Do you have a documented and implemented process for verifying accessibility conformance?</v>
      </c>
      <c r="C52" s="265" t="str">
        <f aca="false">VLOOKUP($A52,Questions!$A$3:$X$333,19,0)&amp;""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52" s="265" t="str">
        <f aca="false">VLOOKUP($A52,Questions!$A$3:$X$333,20,0)&amp;""</f>
        <v/>
      </c>
    </row>
    <row r="53" customFormat="false" ht="65.25" hidden="false" customHeight="true" outlineLevel="0" collapsed="false">
      <c r="A53" s="265" t="s">
        <v>235</v>
      </c>
      <c r="B53" s="265" t="str">
        <f aca="false">VLOOKUP($A53,Questions!$A$3:$X$333,2,0)&amp;""</f>
        <v>Have you adopted a technical or legal standard of conformance for the solution?</v>
      </c>
      <c r="C53" s="265" t="str">
        <f aca="false">VLOOKUP($A53,Questions!$A$3:$X$333,19,0)&amp;""</f>
        <v>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53" s="265" t="str">
        <f aca="false">VLOOKUP($A53,Questions!$A$3:$X$333,20,0)&amp;""</f>
        <v/>
      </c>
    </row>
    <row r="54" customFormat="false" ht="63.75" hidden="false" customHeight="true" outlineLevel="0" collapsed="false">
      <c r="A54" s="265" t="s">
        <v>236</v>
      </c>
      <c r="B54" s="265" t="str">
        <f aca="false">VLOOKUP($A54,Questions!$A$3:$X$333,2,0)&amp;""</f>
        <v>Can you provide a current, detailed accessibility roadmap with delivery timelines?</v>
      </c>
      <c r="C54" s="265" t="str">
        <f aca="false">VLOOKUP($A54,Questions!$A$3:$X$333,19,0)&amp;""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54" s="265" t="str">
        <f aca="false">VLOOKUP($A54,Questions!$A$3:$X$333,20,0)&amp;""</f>
        <v>If no roadmap is available, seek additional information from the solution provider such as release notes that address accessibility and any feedback from users that address the accessibility of the solution.</v>
      </c>
    </row>
    <row r="55" customFormat="false" ht="71.25" hidden="false" customHeight="true" outlineLevel="0" collapsed="false">
      <c r="A55" s="265" t="s">
        <v>237</v>
      </c>
      <c r="B55" s="265" t="str">
        <f aca="false">VLOOKUP($A55,Questions!$A$3:$X$333,2,0)&amp;""</f>
        <v>Do you expect your staff to maintain a current skill set in IT accessibility?</v>
      </c>
      <c r="C55" s="265" t="str">
        <f aca="false">VLOOKUP($A55,Questions!$A$3:$X$333,19,0)&amp;""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55" s="265" t="str">
        <f aca="false">VLOOKUP($A55,Questions!$A$3:$X$333,20,0)&amp;""</f>
        <v/>
      </c>
    </row>
    <row r="56" customFormat="false" ht="51" hidden="false" customHeight="true" outlineLevel="0" collapsed="false">
      <c r="A56" s="265" t="s">
        <v>239</v>
      </c>
      <c r="B56" s="265" t="str">
        <f aca="false">VLOOKUP($A56,Questions!$A$3:$X$333,2,0)&amp;""</f>
        <v>Do you have documented processes and procedures for implementing accessibility into your development lifecycle?</v>
      </c>
      <c r="C56" s="265" t="str">
        <f aca="false">VLOOKUP($A56,Questions!$A$3:$X$333,19,0)&amp;""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56" s="265" t="str">
        <f aca="false">VLOOKUP($A56,Questions!$A$3:$X$333,20,0)&amp;""</f>
        <v/>
      </c>
    </row>
    <row r="57" customFormat="false" ht="52.5" hidden="false" customHeight="true" outlineLevel="0" collapsed="false">
      <c r="A57" s="265" t="s">
        <v>240</v>
      </c>
      <c r="B57" s="265" t="str">
        <f aca="false">VLOOKUP($A57,Questions!$A$3:$X$333,2,0)&amp;""</f>
        <v>Can all functions of the application or service be performed using only the keyboard?</v>
      </c>
      <c r="C57" s="265" t="str">
        <f aca="false">VLOOKUP($A57,Questions!$A$3:$X$333,19,0)&amp;""</f>
        <v>One critical accessibility requirement is the full use of a product using only the keyboard, -no mouse or trackpad. This requirement is easy for a nontechnical or non-accessibility expert to understand and verify.</v>
      </c>
      <c r="D57" s="265" t="str">
        <f aca="false">VLOOKUP($A57,Questions!$A$3:$X$333,20,0)&amp;""</f>
        <v>To confirm keyboard-only claims, follow the how-to at Minimum Expectations for applications webpage &lt;https://go.iu.edu/minimum-expectations&gt; from Indiana University or reference WebAIM’s Keyboard Testing guidance &lt;https://webaim.org/techniques/keyboard/#testing&gt;.</v>
      </c>
    </row>
    <row r="58" customFormat="false" ht="76.1" hidden="false" customHeight="false" outlineLevel="0" collapsed="false">
      <c r="A58" s="265" t="s">
        <v>242</v>
      </c>
      <c r="B58" s="265" t="str">
        <f aca="false">VLOOKUP($A58,Questions!$A$3:$X$333,2,0)&amp;""</f>
        <v>Does your product rely on activating a special "accessibility mode," a "lite version," or using an alternate interface (including “overlay” or AI-based alternates)  for accessibility purposes?</v>
      </c>
      <c r="C58" s="265" t="str">
        <f aca="false">VLOOKUP($A58,Questions!$A$3:$X$333,19,0)&amp;""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58" s="265" t="str">
        <f aca="false">VLOOKUP($A58,Questions!$A$3:$X$333,20,0)&amp;""</f>
        <v/>
      </c>
      <c r="E58" s="51" t="s">
        <v>487</v>
      </c>
    </row>
    <row r="59" customFormat="false" ht="20.85" hidden="false" customHeight="false" outlineLevel="0" collapsed="false">
      <c r="A59" s="31" t="str">
        <f aca="false">VLOOKUP(LEFT($A60,4),'Auto Responses'!$N$4:$O$38,2,0)&amp;""</f>
        <v> Assessment of Third Parties</v>
      </c>
      <c r="B59" s="31"/>
      <c r="C59" s="264" t="str">
        <f aca="false">Questions!$S$2</f>
        <v>Reason for Question</v>
      </c>
      <c r="D59" s="264" t="str">
        <f aca="false">Questions!$T$2</f>
        <v>Follow-Up Inquiries/Responses</v>
      </c>
    </row>
    <row r="60" customFormat="false" ht="65.25" hidden="false" customHeight="true" outlineLevel="0" collapsed="false">
      <c r="A60" s="265" t="s">
        <v>63</v>
      </c>
      <c r="B60" s="265" t="str">
        <f aca="false">VLOOKUP($A60,Questions!$A$3:$X$333,2,0)&amp;""</f>
        <v>Do you perform security assessments of third-party companies with which you share data (e.g., hosting providers, cloud services, PaaS, IaaS, SaaS)?*</v>
      </c>
      <c r="C60" s="265" t="str">
        <f aca="false">VLOOKUP($A60,Questions!$A$3:$X$333,19,0)&amp;""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0" s="265" t="str">
        <f aca="false">VLOOKUP($A60,Questions!$A$3:$X$333,20,0)&amp;""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1" customFormat="false" ht="52.5" hidden="false" customHeight="true" outlineLevel="0" collapsed="false">
      <c r="A61" s="265" t="s">
        <v>65</v>
      </c>
      <c r="B61" s="265" t="str">
        <f aca="false">VLOOKUP($A61,Questions!$A$3:$X$333,2,0)&amp;""</f>
        <v>Do you have contractual language in place with third parties governing access to institutional data?*</v>
      </c>
      <c r="C61" s="265" t="str">
        <f aca="false">VLOOKUP($A61,Questions!$A$3:$X$333,19,0)&amp;""</f>
        <v>The sharing of institutional data to fourth-parties may increase the risk to the institutation and thus, we want to know who gets what data, when they get that data, and why they get that data.</v>
      </c>
      <c r="D61" s="265" t="str">
        <f aca="false">VLOOKUP($A61,Questions!$A$3:$X$333,20,0)&amp;""</f>
        <v>Follow-up inquiries concerning third-party data sharing will be institution/implementation specific.</v>
      </c>
    </row>
    <row r="62" customFormat="false" ht="36" hidden="false" customHeight="true" outlineLevel="0" collapsed="false">
      <c r="A62" s="265" t="s">
        <v>67</v>
      </c>
      <c r="B62" s="265" t="str">
        <f aca="false">VLOOKUP($A62,Questions!$A$3:$X$333,2,0)&amp;""</f>
        <v>Do the contracts in place with these third parties address liability in the event of a data breach?*</v>
      </c>
      <c r="C62" s="265" t="str">
        <f aca="false">VLOOKUP($A62,Questions!$A$3:$X$333,19,0)&amp;""</f>
        <v>Knowing the protections and legal agreements in place for third-party data sharing may assist analysts in determininng residual risk.</v>
      </c>
      <c r="D62" s="265" t="str">
        <f aca="false">VLOOKUP($A62,Questions!$A$3:$X$333,20,0)&amp;""</f>
        <v>Follow-up inquiries concerning legal agreements with third parties will be institution/implementation specific.</v>
      </c>
    </row>
    <row r="63" customFormat="false" ht="131.25" hidden="false" customHeight="true" outlineLevel="0" collapsed="false">
      <c r="A63" s="265" t="s">
        <v>68</v>
      </c>
      <c r="B63" s="265" t="str">
        <f aca="false">VLOOKUP($A63,Questions!$A$3:$X$333,2,0)&amp;""</f>
        <v>Do you have an implemented third-party management strategy?*</v>
      </c>
      <c r="C63" s="265" t="str">
        <f aca="false">VLOOKUP($A63,Questions!$A$3:$X$333,19,0)&amp;""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63" s="265" t="str">
        <f aca="false">VLOOKUP($A63,Questions!$A$3:$X$333,20,0)&amp;""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64" customFormat="false" ht="75" hidden="false" customHeight="true" outlineLevel="0" collapsed="false">
      <c r="A64" s="265" t="s">
        <v>70</v>
      </c>
      <c r="B64" s="265" t="str">
        <f aca="false">VLOOKUP($A64,Questions!$A$3:$X$333,2,0)&amp;""</f>
        <v>Do you have a process and implemented procedures for managing your hardware supply chain (e.g., telecommunications equipment, export licensing, computing devices)?</v>
      </c>
      <c r="C64" s="265" t="str">
        <f aca="false">VLOOKUP($A64,Questions!$A$3:$X$333,19,0)&amp;""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64" s="265" t="str">
        <f aca="false">VLOOKUP($A64,Questions!$A$3:$X$333,20,0)&amp;""</f>
        <v>Follow-up inquiries concerning hardware supply chain will be institution/implementation specific.</v>
      </c>
      <c r="E64" s="51" t="s">
        <v>487</v>
      </c>
    </row>
    <row r="65" s="270" customFormat="true" ht="20.85" hidden="false" customHeight="false" outlineLevel="0" collapsed="false">
      <c r="A65" s="31" t="str">
        <f aca="false">VLOOKUP(LEFT($A66,4),'Auto Responses'!$N$4:$O$38,2,0)&amp;""</f>
        <v> Consulting Services</v>
      </c>
      <c r="B65" s="31"/>
      <c r="C65" s="264" t="str">
        <f aca="false">Questions!$S$2</f>
        <v>Reason for Question</v>
      </c>
      <c r="D65" s="264" t="str">
        <f aca="false">Questions!$T$2</f>
        <v>Follow-Up Inquiries/Responses</v>
      </c>
      <c r="E65" s="101"/>
      <c r="F65" s="101"/>
    </row>
    <row r="66" customFormat="false" ht="65.25" hidden="false" customHeight="true" outlineLevel="0" collapsed="false">
      <c r="A66" s="265" t="s">
        <v>245</v>
      </c>
      <c r="B66" s="265" t="str">
        <f aca="false">VLOOKUP($A66,Questions!$A$3:$X$333,2,0)&amp;""</f>
        <v>Will the consultant require access to the institution's network resources?*</v>
      </c>
      <c r="C66" s="265" t="str">
        <f aca="false">VLOOKUP($A66,Questions!$A$3:$X$333,19,0)&amp;""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6" s="265" t="str">
        <f aca="false">VLOOKUP($A66,Questions!$A$3:$X$333,20,0)&amp;""</f>
        <v>Follow-up inquiries will be institution/implementation specific.</v>
      </c>
    </row>
    <row r="67" s="270" customFormat="true" ht="66.75" hidden="false" customHeight="true" outlineLevel="0" collapsed="false">
      <c r="A67" s="265" t="s">
        <v>246</v>
      </c>
      <c r="B67" s="265" t="str">
        <f aca="false">VLOOKUP($A67,Questions!$A$3:$X$333,2,0)&amp;""</f>
        <v>Has the consultant received training on (sensitive, HIPAA, PCI, etc.) data handling?*</v>
      </c>
      <c r="C67" s="265" t="str">
        <f aca="false">VLOOKUP($A67,Questions!$A$3:$X$333,19,0)&amp;""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7" s="265" t="str">
        <f aca="false">VLOOKUP($A67,Questions!$A$3:$X$333,20,0)&amp;""</f>
        <v>Follow-up inquiries will be institution/implementation specific.</v>
      </c>
      <c r="E67" s="101"/>
      <c r="F67" s="101"/>
    </row>
    <row r="68" customFormat="false" ht="68.25" hidden="false" customHeight="true" outlineLevel="0" collapsed="false">
      <c r="A68" s="265" t="s">
        <v>247</v>
      </c>
      <c r="B68" s="265" t="str">
        <f aca="false">VLOOKUP($A68,Questions!$A$3:$X$333,2,0)&amp;""</f>
        <v>Is the data encrypted (at rest) while in the consultant's possession?*</v>
      </c>
      <c r="C68" s="265" t="str">
        <f aca="false">VLOOKUP($A68,Questions!$A$3:$X$333,19,0)&amp;""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8" s="265" t="str">
        <f aca="false">VLOOKUP($A68,Questions!$A$3:$X$333,20,0)&amp;""</f>
        <v>Follow-up inquiries will be institution/implementation specific.</v>
      </c>
    </row>
    <row r="69" customFormat="false" ht="65.25" hidden="false" customHeight="true" outlineLevel="0" collapsed="false">
      <c r="A69" s="265" t="s">
        <v>248</v>
      </c>
      <c r="B69" s="265" t="str">
        <f aca="false">VLOOKUP($A69,Questions!$A$3:$X$333,2,0)&amp;""</f>
        <v>Can access be restricted based on source IP address?*</v>
      </c>
      <c r="C69" s="265" t="str">
        <f aca="false">VLOOKUP($A69,Questions!$A$3:$X$333,19,0)&amp;""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9" s="265" t="str">
        <f aca="false">VLOOKUP($A69,Questions!$A$3:$X$333,20,0)&amp;""</f>
        <v>Follow-up inquiries will be institution/implementation specific.</v>
      </c>
    </row>
    <row r="70" customFormat="false" ht="71.25" hidden="false" customHeight="true" outlineLevel="0" collapsed="false">
      <c r="A70" s="265" t="s">
        <v>249</v>
      </c>
      <c r="B70" s="265" t="str">
        <f aca="false">VLOOKUP($A70,Questions!$A$3:$X$333,2,0)&amp;""</f>
        <v>Will the consulting take place on-premises?</v>
      </c>
      <c r="C70" s="265" t="str">
        <f aca="false">VLOOKUP($A70,Questions!$A$3:$X$333,19,0)&amp;""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0" s="265" t="str">
        <f aca="false">VLOOKUP($A70,Questions!$A$3:$X$333,20,0)&amp;""</f>
        <v>Follow-up inquiries will be institution/implementation specific.</v>
      </c>
    </row>
    <row r="71" customFormat="false" ht="71.25" hidden="false" customHeight="true" outlineLevel="0" collapsed="false">
      <c r="A71" s="265" t="s">
        <v>250</v>
      </c>
      <c r="B71" s="265" t="str">
        <f aca="false">VLOOKUP($A71,Questions!$A$3:$X$333,2,0)&amp;""</f>
        <v>Will the consultant require access to hardware in the institution's data centers?</v>
      </c>
      <c r="C71" s="265" t="str">
        <f aca="false">VLOOKUP($A71,Questions!$A$3:$X$333,19,0)&amp;""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1" s="265" t="str">
        <f aca="false">VLOOKUP($A71,Questions!$A$3:$X$333,20,0)&amp;""</f>
        <v>Follow-up inquiries will be institution/implementation specific.</v>
      </c>
    </row>
    <row r="72" customFormat="false" ht="67.5" hidden="false" customHeight="true" outlineLevel="0" collapsed="false">
      <c r="A72" s="265" t="s">
        <v>251</v>
      </c>
      <c r="B72" s="265" t="str">
        <f aca="false">VLOOKUP($A72,Questions!$A$3:$X$333,2,0)&amp;""</f>
        <v>Will the consultant require an account within the institution's domain (@*.edu)?</v>
      </c>
      <c r="C72" s="265" t="str">
        <f aca="false">VLOOKUP($A72,Questions!$A$3:$X$333,19,0)&amp;""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2" s="265" t="str">
        <f aca="false">VLOOKUP($A72,Questions!$A$3:$X$333,20,0)&amp;""</f>
        <v>Follow-up inquiries will be institution/implementation specific.</v>
      </c>
      <c r="E72" s="270"/>
      <c r="F72" s="270"/>
    </row>
    <row r="73" customFormat="false" ht="69" hidden="false" customHeight="true" outlineLevel="0" collapsed="false">
      <c r="A73" s="265" t="s">
        <v>252</v>
      </c>
      <c r="B73" s="265" t="str">
        <f aca="false">VLOOKUP($A73,Questions!$A$3:$X$333,2,0)&amp;""</f>
        <v>Will any data be transferred to the consultant's possession?</v>
      </c>
      <c r="C73" s="265" t="str">
        <f aca="false">VLOOKUP($A73,Questions!$A$3:$X$333,19,0)&amp;""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3" s="265" t="str">
        <f aca="false">VLOOKUP($A73,Questions!$A$3:$X$333,20,0)&amp;""</f>
        <v>Follow-up inquiries will be institution/implementation specific.</v>
      </c>
    </row>
    <row r="74" customFormat="false" ht="70.5" hidden="false" customHeight="true" outlineLevel="0" collapsed="false">
      <c r="A74" s="265" t="s">
        <v>253</v>
      </c>
      <c r="B74" s="265" t="str">
        <f aca="false">VLOOKUP($A74,Questions!$A$3:$X$333,2,0)&amp;""</f>
        <v>Will the consultant need remote access to the institution's network or systems?</v>
      </c>
      <c r="C74" s="265" t="str">
        <f aca="false">VLOOKUP($A74,Questions!$A$3:$X$333,19,0)&amp;""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4" s="265" t="str">
        <f aca="false">VLOOKUP($A74,Questions!$A$3:$X$333,20,0)&amp;""</f>
        <v>Follow-up inquiries will be institution/implementation specific.</v>
      </c>
      <c r="E74" s="51" t="s">
        <v>487</v>
      </c>
      <c r="F74" s="270"/>
    </row>
    <row r="75" s="270" customFormat="true" ht="20.85" hidden="false" customHeight="false" outlineLevel="0" collapsed="false">
      <c r="A75" s="31" t="str">
        <f aca="false">VLOOKUP(LEFT($A76,4),'Auto Responses'!$N$4:$O$38,2,0)&amp;""</f>
        <v> Application/Service Security</v>
      </c>
      <c r="B75" s="31"/>
      <c r="C75" s="264" t="str">
        <f aca="false">Questions!$S$2</f>
        <v>Reason for Question</v>
      </c>
      <c r="D75" s="264" t="str">
        <f aca="false">Questions!$T$2</f>
        <v>Follow-Up Inquiries/Responses</v>
      </c>
      <c r="E75" s="101"/>
      <c r="F75" s="101"/>
    </row>
    <row r="76" customFormat="false" ht="79.5" hidden="false" customHeight="true" outlineLevel="0" collapsed="false">
      <c r="A76" s="271" t="s">
        <v>158</v>
      </c>
      <c r="B76" s="265" t="str">
        <f aca="false">VLOOKUP($A76,Questions!$A$3:$X$333,2,0)&amp;""</f>
        <v>Are access controls for institutional accounts based on structured rules, such as role-based access control (RBAC), attribute-based access control (ABAC), or policy-based access control (PBAC)?*</v>
      </c>
      <c r="C76" s="265" t="str">
        <f aca="false">VLOOKUP($A76,Questions!$A$3:$X$333,19,0)&amp;""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76" s="265" t="str">
        <f aca="false">VLOOKUP($A76,Questions!$A$3:$X$333,20,0)&amp;""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77" customFormat="false" ht="85.5" hidden="false" customHeight="true" outlineLevel="0" collapsed="false">
      <c r="A77" s="265" t="s">
        <v>159</v>
      </c>
      <c r="B77" s="265" t="str">
        <f aca="false">VLOOKUP($A77,Questions!$A$3:$X$333,2,0)&amp;""</f>
        <v>Are you using a web application firewall (WAF)?*</v>
      </c>
      <c r="C77" s="265" t="str">
        <f aca="false">VLOOKUP($A77,Questions!$A$3:$X$333,19,0)&amp;""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77" s="265" t="str">
        <f aca="false">VLOOKUP($A77,Questions!$A$3:$X$333,20,0)&amp;""</f>
        <v>If a solution provider states that they outsource their code development and do not run a WAF, there is elevated reason for concern. Verify how code is tested, monitored, and controlled in production environments.</v>
      </c>
    </row>
    <row r="78" customFormat="false" ht="70.5" hidden="false" customHeight="true" outlineLevel="0" collapsed="false">
      <c r="A78" s="265" t="s">
        <v>160</v>
      </c>
      <c r="B78" s="265" t="str">
        <f aca="false">VLOOKUP($A78,Questions!$A$3:$X$333,2,0)&amp;""</f>
        <v>Are only currently supported operating system(s), software, and libraries leveraged by the system(s)/application(s) that will have access to institution's data?*</v>
      </c>
      <c r="C78" s="265" t="str">
        <f aca="false">VLOOKUP($A78,Questions!$A$3:$X$333,19,0)&amp;""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78" s="265" t="str">
        <f aca="false">VLOOKUP($A78,Questions!$A$3:$X$333,20,0)&amp;""</f>
        <v>Follow-up inquiries for operating systems leveraged by the solution provider will be institution/implementation specific.</v>
      </c>
    </row>
    <row r="79" customFormat="false" ht="45.75" hidden="false" customHeight="true" outlineLevel="0" collapsed="false">
      <c r="A79" s="265" t="s">
        <v>161</v>
      </c>
      <c r="B79" s="265" t="str">
        <f aca="false">VLOOKUP($A79,Questions!$A$3:$X$333,2,0)&amp;""</f>
        <v>Does your application require access to location or GPS data?*</v>
      </c>
      <c r="C79" s="265" t="str">
        <f aca="false">VLOOKUP($A79,Questions!$A$3:$X$333,19,0)&amp;""</f>
        <v>Sharing location data significantly increases risk factors for users. It's important to understand if this is required.</v>
      </c>
      <c r="D79" s="265" t="str">
        <f aca="false">VLOOKUP($A79,Questions!$A$3:$X$333,20,0)&amp;""</f>
        <v>Ask the solution provider about the need for this requirement, and understand any mitigation strategies that may be possible.</v>
      </c>
    </row>
    <row r="80" customFormat="false" ht="85.5" hidden="false" customHeight="true" outlineLevel="0" collapsed="false">
      <c r="A80" s="265" t="s">
        <v>162</v>
      </c>
      <c r="B80" s="265" t="str">
        <f aca="false">VLOOKUP($A80,Questions!$A$3:$X$333,2,0)&amp;""</f>
        <v>Does your application provide separation of duties between security administration, system administration, and standard user functions?*</v>
      </c>
      <c r="C80" s="265" t="str">
        <f aca="false">VLOOKUP($A80,Questions!$A$3:$X$333,19,0)&amp;""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80" s="265" t="str">
        <f aca="false">VLOOKUP($A80,Questions!$A$3:$X$333,20,0)&amp;""</f>
        <v>Ask the solution provider to summarize their best practices for securing their system(s) administratively without the use of RBAC. Make sure to understand the administrative requirements/overhead introduced in the solution provider's environment.</v>
      </c>
    </row>
    <row r="81" customFormat="false" ht="82.5" hidden="false" customHeight="true" outlineLevel="0" collapsed="false">
      <c r="A81" s="265" t="s">
        <v>163</v>
      </c>
      <c r="B81" s="265" t="str">
        <f aca="false">VLOOKUP($A81,Questions!$A$3:$X$333,2,0)&amp;""</f>
        <v>Do you subject your code to static code analysis and/or static application security testing prior to release?*</v>
      </c>
      <c r="C81" s="265" t="str">
        <f aca="false">VLOOKUP($A81,Questions!$A$3:$X$333,19,0)&amp;""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81" s="265" t="str">
        <f aca="false">VLOOKUP($A81,Questions!$A$3:$X$333,20,0)&amp;""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82" customFormat="false" ht="53.25" hidden="false" customHeight="true" outlineLevel="0" collapsed="false">
      <c r="A82" s="265" t="s">
        <v>164</v>
      </c>
      <c r="B82" s="265" t="str">
        <f aca="false">VLOOKUP($A82,Questions!$A$3:$X$333,2,0)&amp;""</f>
        <v>Do you have software testing processes (dynamic or static) that are established and followed?*</v>
      </c>
      <c r="C82" s="265" t="str">
        <f aca="false">VLOOKUP($A82,Questions!$A$3:$X$333,19,0)&amp;""</f>
        <v>Code analysis (prior to implementation) can decrease the number of vulnerabilities within a system. Depending on the insight a solution provider has into their code, code testing should be expected.</v>
      </c>
      <c r="D82" s="265" t="str">
        <f aca="false">VLOOKUP($A82,Questions!$A$3:$X$333,20,0)&amp;""</f>
        <v>If software testing processes are not established and followed, point the solution provider to OWASP's Testing Guide &lt;https://www.owasp.org/index.php/OWASP_Testing_Guide_v4_Table_of_Contents&gt;.</v>
      </c>
      <c r="E82" s="270"/>
      <c r="F82" s="270"/>
    </row>
    <row r="83" customFormat="false" ht="80.25" hidden="false" customHeight="true" outlineLevel="0" collapsed="false">
      <c r="A83" s="265" t="s">
        <v>165</v>
      </c>
      <c r="B83" s="265" t="str">
        <f aca="false">VLOOKUP($A83,Questions!$A$3:$X$333,2,0)&amp;""</f>
        <v>Are access controls for staff within your organization based on structured rules, such as RBAC, ABAC, or PBAC?</v>
      </c>
      <c r="C83" s="265" t="str">
        <f aca="false">VLOOKUP($A83,Questions!$A$3:$X$333,19,0)&amp;""</f>
        <v>Managing a solution may rely on various professionals to administer a system. This question is focused on how administration, and the segregation of functions, is implemented within the solution provider's infrastructure.</v>
      </c>
      <c r="D83" s="265" t="str">
        <f aca="false">VLOOKUP($A83,Questions!$A$3:$X$333,20,0)&amp;""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84" customFormat="false" ht="88.5" hidden="false" customHeight="true" outlineLevel="0" collapsed="false">
      <c r="A84" s="265" t="s">
        <v>166</v>
      </c>
      <c r="B84" s="265" t="str">
        <f aca="false">VLOOKUP($A84,Questions!$A$3:$X$333,2,0)&amp;""</f>
        <v>Does the system provide data input validation and error messages?</v>
      </c>
      <c r="C84" s="265" t="str">
        <f aca="false">VLOOKUP($A84,Questions!$A$3:$X$333,19,0)&amp;""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84" s="265" t="str">
        <f aca="false">VLOOKUP($A84,Questions!$A$3:$X$333,20,0)&amp;""</f>
        <v>Inquire about any planned improvements to these capabilities. Ask about their product roadmap, and try to understand how they prioritize security concerns in their environment.</v>
      </c>
    </row>
    <row r="85" customFormat="false" ht="84.75" hidden="false" customHeight="true" outlineLevel="0" collapsed="false">
      <c r="A85" s="265" t="s">
        <v>167</v>
      </c>
      <c r="B85" s="265" t="str">
        <f aca="false">VLOOKUP($A85,Questions!$A$3:$X$333,2,0)&amp;""</f>
        <v>Do you have a process and implemented procedures for managing your software supply chain (e.g., libraries, repositories, frameworks, etc.)</v>
      </c>
      <c r="C85" s="265" t="str">
        <f aca="false">VLOOKUP($A85,Questions!$A$3:$X$333,19,0)&amp;""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85" s="265" t="str">
        <f aca="false">VLOOKUP($A85,Questions!$A$3:$X$333,20,0)&amp;""</f>
        <v>Follow-up inquiries concerning software supply chain will be institution/implementation specific.</v>
      </c>
      <c r="E85" s="228"/>
    </row>
    <row r="86" customFormat="false" ht="67.5" hidden="false" customHeight="true" outlineLevel="0" collapsed="false">
      <c r="A86" s="265" t="s">
        <v>168</v>
      </c>
      <c r="B86" s="265" t="str">
        <f aca="false">VLOOKUP($A86,Questions!$A$3:$X$333,2,0)&amp;""</f>
        <v>Have your developers been trained in secure coding techniques?</v>
      </c>
      <c r="C86" s="265" t="str">
        <f aca="false">VLOOKUP($A86,Questions!$A$3:$X$333,19,0)&amp;""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6" s="265" t="str">
        <f aca="false">VLOOKUP($A86,Questions!$A$3:$X$333,20,0)&amp;""</f>
        <v>If information security principles are not designed into the product lifecycle, point the solution provider to OWASP's Secure Coding Practices - Quick Reference Guide &lt;https://www.owasp.org/index.php/OWASP_Secure_Coding_Practices_-_Quick_Reference_Guide&gt;.</v>
      </c>
      <c r="E86" s="228"/>
    </row>
    <row r="87" customFormat="false" ht="72.75" hidden="false" customHeight="true" outlineLevel="0" collapsed="false">
      <c r="A87" s="265" t="s">
        <v>169</v>
      </c>
      <c r="B87" s="265" t="str">
        <f aca="false">VLOOKUP($A87,Questions!$A$3:$X$333,2,0)&amp;""</f>
        <v>Was your application developed using secure coding techniques?</v>
      </c>
      <c r="C87" s="265" t="str">
        <f aca="false">VLOOKUP($A87,Questions!$A$3:$X$333,19,0)&amp;""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7" s="265" t="str">
        <f aca="false">VLOOKUP($A87,Questions!$A$3:$X$333,20,0)&amp;""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88" customFormat="false" ht="58.5" hidden="false" customHeight="true" outlineLevel="0" collapsed="false">
      <c r="A88" s="265" t="s">
        <v>170</v>
      </c>
      <c r="B88" s="265" t="str">
        <f aca="false">VLOOKUP($A88,Questions!$A$3:$X$333,2,0)&amp;""</f>
        <v>If mobile, is the application available from a trusted source (e.g., App Store, Google Play Store)?</v>
      </c>
      <c r="C88" s="265" t="str">
        <f aca="false">VLOOKUP($A88,Questions!$A$3:$X$333,19,0)&amp;""</f>
        <v>Distributing application via known, moderately vetted application platform decreases the chances of malicious code distribution. Stand-alone deployments (nontrusted sources) should be looked at more closely.</v>
      </c>
      <c r="D88" s="265" t="str">
        <f aca="false">VLOOKUP($A88,Questions!$A$3:$X$333,20,0)&amp;""</f>
        <v>Ask the solution provider why this deployment strategy is used. Ask if it is a restriction of the app store platform or some other environment restriction.</v>
      </c>
    </row>
    <row r="89" customFormat="false" ht="65.25" hidden="false" customHeight="true" outlineLevel="0" collapsed="false">
      <c r="A89" s="265" t="s">
        <v>171</v>
      </c>
      <c r="B89" s="265" t="str">
        <f aca="false">VLOOKUP($A89,Questions!$A$3:$X$333,2,0)&amp;""</f>
        <v>Do you have a fully implemented policy or procedure that details how your employees obtain administrator access to institutional instance of the application?</v>
      </c>
      <c r="C89" s="265" t="str">
        <f aca="false">VLOOKUP($A89,Questions!$A$3:$X$333,19,0)&amp;""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89" s="265" t="str">
        <f aca="false">VLOOKUP($A89,Questions!$A$3:$X$333,20,0)&amp;""</f>
        <v>Ask the solution provider to summarize their implemented policies and/or procedures</v>
      </c>
      <c r="E89" s="51" t="s">
        <v>487</v>
      </c>
    </row>
    <row r="90" customFormat="false" ht="20.85" hidden="false" customHeight="false" outlineLevel="0" collapsed="false">
      <c r="A90" s="31" t="str">
        <f aca="false">VLOOKUP(LEFT($A91,4),'Auto Responses'!$N$4:$O$38,2,0)&amp;""</f>
        <v> Authentication, Authorization, and Account Management</v>
      </c>
      <c r="B90" s="31"/>
      <c r="C90" s="264" t="str">
        <f aca="false">Questions!$S$2</f>
        <v>Reason for Question</v>
      </c>
      <c r="D90" s="264" t="str">
        <f aca="false">Questions!$T$2</f>
        <v>Follow-Up Inquiries/Responses</v>
      </c>
    </row>
    <row r="91" customFormat="false" ht="66.75" hidden="false" customHeight="true" outlineLevel="0" collapsed="false">
      <c r="A91" s="265" t="s">
        <v>116</v>
      </c>
      <c r="B91" s="265" t="str">
        <f aca="false">VLOOKUP($A91,Questions!$A$3:$X$333,2,0)&amp;""</f>
        <v>Does your solution support single sign-on (SSO) protocols for user and administrator authentication?*</v>
      </c>
      <c r="C91" s="265" t="str">
        <f aca="false">VLOOKUP($A91,Questions!$A$3:$X$333,19,0)&amp;""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1" s="265" t="str">
        <f aca="false">VLOOKUP($A91,Questions!$A$3:$X$333,20,0)&amp;""</f>
        <v>Follow-up inquiries for IAM requirements will be institution/implementation specific.</v>
      </c>
    </row>
    <row r="92" customFormat="false" ht="46.5" hidden="false" customHeight="true" outlineLevel="0" collapsed="false">
      <c r="A92" s="265" t="s">
        <v>117</v>
      </c>
      <c r="B92" s="265" t="str">
        <f aca="false">VLOOKUP($A92,Questions!$A$3:$X$333,2,0)&amp;""</f>
        <v>For customers not using SSO, does your solution support local authentication protocols for user and administrator authentication?*</v>
      </c>
      <c r="C92" s="265" t="str">
        <f aca="false">VLOOKUP($A92,Questions!$A$3:$X$333,19,0)&amp;""</f>
        <v>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92" s="265" t="str">
        <f aca="false">VLOOKUP($A92,Questions!$A$3:$X$333,20,0)&amp;""</f>
        <v>The content of this response may or may not have value for the type of use case on the institution. Follow-up inquiries for authentication modes will be institution/implementation specific.</v>
      </c>
    </row>
    <row r="93" customFormat="false" ht="31.5" hidden="false" customHeight="true" outlineLevel="0" collapsed="false">
      <c r="A93" s="265" t="s">
        <v>118</v>
      </c>
      <c r="B93" s="265" t="str">
        <f aca="false">VLOOKUP($A93,Questions!$A$3:$X$333,2,0)&amp;""</f>
        <v>For customers not using SSO, can you enforce password/passphrase complexity requirements (provided by the institution)?*</v>
      </c>
      <c r="C93" s="265" t="str">
        <f aca="false">VLOOKUP($A93,Questions!$A$3:$X$333,19,0)&amp;""</f>
        <v>Many institutions have a policy focused on passwords/passphrases, and this question confirms the capacity of a solution provider's solution to comply. If you will be using SSO, consider marking this question as "Do Not Score" in column J of the evaluation tab. </v>
      </c>
      <c r="D93" s="265" t="str">
        <f aca="false">VLOOKUP($A93,Questions!$A$3:$X$333,20,0)&amp;""</f>
        <v>Follow-up inquiries for password/passphrase complexity requirements will be institution/implementation specific.</v>
      </c>
    </row>
    <row r="94" customFormat="false" ht="42" hidden="false" customHeight="true" outlineLevel="0" collapsed="false">
      <c r="A94" s="265" t="s">
        <v>119</v>
      </c>
      <c r="B94" s="265" t="str">
        <f aca="false">VLOOKUP($A94,Questions!$A$3:$X$333,2,0)&amp;""</f>
        <v>For customers not using SSO, does the system have password complexity or length limitations and/or restrictions?*</v>
      </c>
      <c r="C94" s="265" t="str">
        <f aca="false">VLOOKUP($A94,Questions!$A$3:$X$333,19,0)&amp;""</f>
        <v>Many institutions have a policy focused on passwords/passphrases, and this question confirms the capacity of a solution provider's solution to comply. If you will be using SSO, consider marking this question as "Do Not Score" in column J of the evaluation tab. </v>
      </c>
      <c r="D94" s="265" t="str">
        <f aca="false">VLOOKUP($A94,Questions!$A$3:$X$333,20,0)&amp;""</f>
        <v>Follow-up inquiries for password/passphrase limitations and/or restrictions will be institution/implementation specific.</v>
      </c>
    </row>
    <row r="95" customFormat="false" ht="57" hidden="false" customHeight="true" outlineLevel="0" collapsed="false">
      <c r="A95" s="265" t="s">
        <v>120</v>
      </c>
      <c r="B95" s="265" t="str">
        <f aca="false">VLOOKUP($A95,Questions!$A$3:$X$333,2,0)&amp;""</f>
        <v>For customers not using SSO, do you have documented password/passphrase reset procedures that are currently implemented in the system and/or customer support?*</v>
      </c>
      <c r="C95" s="265" t="str">
        <f aca="false">VLOOKUP($A95,Questions!$A$3:$X$333,19,0)&amp;""</f>
        <v>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95" s="265" t="str">
        <f aca="false">VLOOKUP($A95,Questions!$A$3:$X$333,20,0)&amp;""</f>
        <v>Ask the solution provider how end users will be supported. Ask for training documentation or knowledgebase content. Confirm solution provider and institution responsibilities in this support area (and others).</v>
      </c>
    </row>
    <row r="96" customFormat="false" ht="50.25" hidden="false" customHeight="true" outlineLevel="0" collapsed="false">
      <c r="A96" s="265" t="s">
        <v>121</v>
      </c>
      <c r="B96" s="265" t="str">
        <f aca="false">VLOOKUP($A96,Questions!$A$3:$X$333,2,0)&amp;""</f>
        <v>Does your organization participate in InCommon or another eduGAIN-affiliated trust federation?*</v>
      </c>
      <c r="C96" s="265" t="str">
        <f aca="false">VLOOKUP($A96,Questions!$A$3:$X$333,19,0)&amp;""</f>
        <v>This question defines the solution provider's scope of federated identity practices and their willingness to embrace higher education requirements.</v>
      </c>
      <c r="D96" s="265" t="str">
        <f aca="false">VLOOKUP($A96,Questions!$A$3:$X$333,20,0)&amp;""</f>
        <v>If a solution provider indicates that a system is stand-alone and cannot integrate with community standards, follow up with maturity questions and ask about other commodity type functions or other system requirements your institution may have.</v>
      </c>
    </row>
    <row r="97" customFormat="false" ht="51" hidden="false" customHeight="true" outlineLevel="0" collapsed="false">
      <c r="A97" s="265" t="s">
        <v>122</v>
      </c>
      <c r="B97" s="265" t="str">
        <f aca="false">VLOOKUP($A97,Questions!$A$3:$X$333,2,0)&amp;""</f>
        <v>Are there any passwords/passphrases hard-coded into your systems or solutions?*</v>
      </c>
      <c r="C97" s="265" t="str">
        <f aca="false">VLOOKUP($A97,Questions!$A$3:$X$333,19,0)&amp;""</f>
        <v>The response to this question can reveal the use (or not) of coding best practices. If passwords/passphrases are hard-coded into systems/productions, the solution provider should provide robust details supporting why this is required.</v>
      </c>
      <c r="D97" s="265" t="str">
        <f aca="false">VLOOKUP($A97,Questions!$A$3:$X$333,20,0)&amp;""</f>
        <v>Vague responses to this question should be met with concern. Repeat the question if the first answer is insufficient. Ask pointedly to ensure the solution provider is not misunderstanding.</v>
      </c>
    </row>
    <row r="98" customFormat="false" ht="35.25" hidden="false" customHeight="true" outlineLevel="0" collapsed="false">
      <c r="A98" s="265" t="s">
        <v>123</v>
      </c>
      <c r="B98" s="265" t="str">
        <f aca="false">VLOOKUP($A98,Questions!$A$3:$X$333,2,0)&amp;""</f>
        <v>Are you storing any passwords in plaintext?*</v>
      </c>
      <c r="C98" s="265" t="str">
        <f aca="false">VLOOKUP($A98,Questions!$A$3:$X$333,19,0)&amp;""</f>
        <v>The focus of this question is confidentiality. It is a straightforward question confirming the encryption of user authentication details.</v>
      </c>
      <c r="D98" s="265" t="str">
        <f aca="false">VLOOKUP($A98,Questions!$A$3:$X$333,20,0)&amp;""</f>
        <v>Follow-up inquiries for password/passphrase encrypted storage will be institution/implementation specific.</v>
      </c>
    </row>
    <row r="99" customFormat="false" ht="72.75" hidden="false" customHeight="true" outlineLevel="0" collapsed="false">
      <c r="A99" s="265" t="s">
        <v>124</v>
      </c>
      <c r="B99" s="265" t="str">
        <f aca="false">VLOOKUP($A99,Questions!$A$3:$X$333,2,0)&amp;""</f>
        <v>Are audit logs available that include AT LEAST all of the following: login, logout, actions performed, and source IP address?*</v>
      </c>
      <c r="C99" s="265" t="str">
        <f aca="false">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265" t="str">
        <f aca="false">VLOOKUP($A99,Questions!$A$3:$X$333,20,0)&amp;""</f>
        <v>If a weak response is given, it is appropriate to ask directed questions to get specific information. Ensure that questions are targeted to ensure responses will come from the appropriate party within the solution provider.</v>
      </c>
    </row>
    <row r="100" customFormat="false" ht="92.25" hidden="false" customHeight="true" outlineLevel="0" collapsed="false">
      <c r="A100" s="265" t="s">
        <v>125</v>
      </c>
      <c r="B100" s="265" t="str">
        <f aca="false">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265" t="str">
        <f aca="false">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265" t="str">
        <f aca="false">VLOOKUP($A100,Questions!$A$3:$X$333,20,0)&amp;""</f>
        <v>If a weak response is given, it is appropriate to ask directed questions to get specific information. Ensure that questions are targeted to ensure responses will come from the appropriate party within the solution provider.</v>
      </c>
    </row>
    <row r="101" customFormat="false" ht="65.25" hidden="false" customHeight="true" outlineLevel="0" collapsed="false">
      <c r="A101" s="265" t="s">
        <v>126</v>
      </c>
      <c r="B101" s="265" t="str">
        <f aca="false">VLOOKUP($A101,Questions!$A$3:$X$333,2,0)&amp;""</f>
        <v>Can you provide the institution documentation regarding the retention period for those logs, how logs are protected, and whether they are accessible to the customer (and if so, how)?*</v>
      </c>
      <c r="C101" s="265" t="str">
        <f aca="false">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265" t="str">
        <f aca="false">VLOOKUP($A101,Questions!$A$3:$X$333,20,0)&amp;""</f>
        <v>Follow-up inquiries for logging details will be institution/implementation specific.</v>
      </c>
    </row>
    <row r="102" customFormat="false" ht="69" hidden="false" customHeight="true" outlineLevel="0" collapsed="false">
      <c r="A102" s="265" t="s">
        <v>127</v>
      </c>
      <c r="B102" s="265" t="str">
        <f aca="false">VLOOKUP($A102,Questions!$A$3:$X$333,2,0)&amp;""</f>
        <v>For customers not using SSO, does your application support integration with other authentication and authorization systems?</v>
      </c>
      <c r="C102" s="265" t="str">
        <f aca="false">VLOOKUP($A102,Questions!$A$3:$X$333,19,0)&amp;""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265" t="str">
        <f aca="false">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customFormat="false" ht="57.75" hidden="false" customHeight="true" outlineLevel="0" collapsed="false">
      <c r="A103" s="265" t="s">
        <v>128</v>
      </c>
      <c r="B103" s="265" t="str">
        <f aca="false">VLOOKUP($A103,Questions!$A$3:$X$333,2,0)&amp;""</f>
        <v>Do you allow the customer to specify attribute mappings for any needed information beyond a user identifier? (e.g., Reference eduPerson, ePPA/ePPN/ePE)</v>
      </c>
      <c r="C103" s="265" t="str">
        <f aca="false">VLOOKUP($A103,Questions!$A$3:$X$333,19,0)&amp;""</f>
        <v>This questions allows an institution to know solution provider system limitations and to help them gauge the resources (that may be needed to implement) required to successfully integrate the solution with institution systems.</v>
      </c>
      <c r="D103" s="265" t="str">
        <f aca="false">VLOOKUP($A103,Questions!$A$3:$X$333,20,0)&amp;""</f>
        <v>Follow-up inquiries for attribute mapping requirements will be institution/implementation specific.</v>
      </c>
      <c r="E103" s="228"/>
    </row>
    <row r="104" customFormat="false" ht="63.75" hidden="false" customHeight="true" outlineLevel="0" collapsed="false">
      <c r="A104" s="265" t="s">
        <v>129</v>
      </c>
      <c r="B104" s="265" t="str">
        <f aca="false">VLOOKUP($A104,Questions!$A$3:$X$333,2,0)&amp;""</f>
        <v>For customers not using SSO, does your application support directory integration for user accounts?</v>
      </c>
      <c r="C104" s="265" t="str">
        <f aca="false">VLOOKUP($A104,Questions!$A$3:$X$333,19,0)&amp;""</f>
        <v>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265" t="str">
        <f aca="false">VLOOKUP($A104,Questions!$A$3:$X$333,20,0)&amp;""</f>
        <v>Follow-up inquiries for system authentication will be unique to your institution (e.g., policy, infrastructure, etc.).</v>
      </c>
    </row>
    <row r="105" customFormat="false" ht="67.5" hidden="false" customHeight="true" outlineLevel="0" collapsed="false">
      <c r="A105" s="265" t="s">
        <v>130</v>
      </c>
      <c r="B105" s="265" t="str">
        <f aca="false">VLOOKUP($A105,Questions!$A$3:$X$333,2,0)&amp;""</f>
        <v>Does your solution support any of the following web SSO standards: SAML2 (with redirect flow), OIDC, CAS, or other?</v>
      </c>
      <c r="C105" s="265" t="str">
        <f aca="false">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265" t="str">
        <f aca="false">VLOOKUP($A105,Questions!$A$3:$X$333,20,0)&amp;""</f>
        <v>Follow-up inquiries for IAM requirements will be institution/implementation specific.</v>
      </c>
    </row>
    <row r="106" customFormat="false" ht="52.5" hidden="false" customHeight="true" outlineLevel="0" collapsed="false">
      <c r="A106" s="265" t="s">
        <v>131</v>
      </c>
      <c r="B106" s="265" t="str">
        <f aca="false">VLOOKUP($A106,Questions!$A$3:$X$333,2,0)&amp;""</f>
        <v>Do you support differentiation between email address and user identifier?</v>
      </c>
      <c r="C106" s="265" t="str">
        <f aca="false">VLOOKUP($A106,Questions!$A$3:$X$333,19,0)&amp;""</f>
        <v>This questions allows an institution to know solution provider system limitations and to help them gauge the resources (that may be needed to implement) required to successfully integrate the solution with institution systems.</v>
      </c>
      <c r="D106" s="265" t="str">
        <f aca="false">VLOOKUP($A106,Questions!$A$3:$X$333,20,0)&amp;""</f>
        <v>Follow-up inquiries for identifier requirements will be institution/implementation specific.</v>
      </c>
    </row>
    <row r="107" customFormat="false" ht="54" hidden="false" customHeight="true" outlineLevel="0" collapsed="false">
      <c r="A107" s="265" t="s">
        <v>132</v>
      </c>
      <c r="B107" s="265" t="str">
        <f aca="false">VLOOKUP($A107,Questions!$A$3:$X$333,2,0)&amp;""</f>
        <v>For customers not using SSO, does your application and/or user frontend/portal support multifactor authentication (e.g., Duo, Google Authenticator, OTP, etc.)?</v>
      </c>
      <c r="C107" s="265" t="str">
        <f aca="false">VLOOKUP($A107,Questions!$A$3:$X$333,19,0)&amp;""</f>
        <v>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265" t="str">
        <f aca="false">VLOOKUP($A107,Questions!$A$3:$X$333,20,0)&amp;""</f>
        <v>Ask the solution provider about hardware and software options, future roadmap for implementations and support, etc.</v>
      </c>
    </row>
    <row r="108" customFormat="false" ht="36.75" hidden="false" customHeight="true" outlineLevel="0" collapsed="false">
      <c r="A108" s="265" t="s">
        <v>133</v>
      </c>
      <c r="B108" s="265" t="str">
        <f aca="false">VLOOKUP($A108,Questions!$A$3:$X$333,2,0)&amp;""</f>
        <v>Does your application automatically lock the session or log out an account after a period of inactivity?</v>
      </c>
      <c r="C108" s="265" t="str">
        <f aca="false">VLOOKUP($A108,Questions!$A$3:$X$333,19,0)&amp;""</f>
        <v>This is a question to ensure account integrity and institutional data confidentiality.</v>
      </c>
      <c r="D108" s="265" t="str">
        <f aca="false">VLOOKUP($A108,Questions!$A$3:$X$333,20,0)&amp;""</f>
        <v>Follow-up inquiries for inactivity protections will be institution/implementation specific.</v>
      </c>
      <c r="E108" s="51" t="s">
        <v>487</v>
      </c>
    </row>
    <row r="109" customFormat="false" ht="20.85" hidden="false" customHeight="false" outlineLevel="0" collapsed="false">
      <c r="A109" s="31" t="str">
        <f aca="false">VLOOKUP(LEFT($A110,4),'Auto Responses'!$N$4:$O$38,2,0)&amp;""</f>
        <v> Change Management</v>
      </c>
      <c r="B109" s="31"/>
      <c r="C109" s="264" t="str">
        <f aca="false">Questions!$S$2</f>
        <v>Reason for Question</v>
      </c>
      <c r="D109" s="264" t="str">
        <f aca="false">Questions!$T$2</f>
        <v>Follow-Up Inquiries/Responses</v>
      </c>
    </row>
    <row r="110" customFormat="false" ht="51" hidden="false" customHeight="true" outlineLevel="0" collapsed="false">
      <c r="A110" s="265" t="s">
        <v>71</v>
      </c>
      <c r="B110" s="265" t="str">
        <f aca="false">VLOOKUP($A110,Questions!$A$3:$X$333,2,0)&amp;""</f>
        <v>Will the institution be notified of major changes to your environment that could impact the institution's security posture?*</v>
      </c>
      <c r="C110" s="265" t="str">
        <f aca="false">VLOOKUP($A110,Questions!$A$3:$X$333,19,0)&amp;""</f>
        <v>Notification expectations should be set earlier in the contract/assessment process. Timelines, correspondence medium, and playbook details are all aspects to keep in mind when assessing this response.</v>
      </c>
      <c r="D110" s="265" t="str">
        <f aca="false">VLOOKUP($A110,Questions!$A$3:$X$333,20,0)&amp;""</f>
        <v>If the solution provider's response does not cover the details outlined in the reasoning, follow up and get specific responses for each, as needed.</v>
      </c>
    </row>
    <row r="111" customFormat="false" ht="57" hidden="false" customHeight="true" outlineLevel="0" collapsed="false">
      <c r="A111" s="265" t="s">
        <v>72</v>
      </c>
      <c r="B111" s="265" t="str">
        <f aca="false">VLOOKUP($A111,Questions!$A$3:$X$333,2,0)&amp;""</f>
        <v>Does the system support client customizations from one release to another?*</v>
      </c>
      <c r="C111" s="265" t="str">
        <f aca="false">VLOOKUP($A111,Questions!$A$3:$X$333,19,0)&amp;""</f>
        <v>The solution provider's solution characteristics and the institution's use case will determine the relevancy of this question. The purpose of this question is to understand the underlying infrastructure and how it is maintained across all customers.</v>
      </c>
      <c r="D111" s="265" t="str">
        <f aca="false">VLOOKUP($A111,Questions!$A$3:$X$333,20,0)&amp;""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112" customFormat="false" ht="75.75" hidden="false" customHeight="true" outlineLevel="0" collapsed="false">
      <c r="A112" s="265" t="s">
        <v>75</v>
      </c>
      <c r="B112" s="265" t="str">
        <f aca="false">VLOOKUP($A112,Questions!$A$3:$X$333,2,0)&amp;""</f>
        <v>Do you have an implemented system configuration management process (e.g.,secure "gold" images, etc.)?*</v>
      </c>
      <c r="C112" s="265" t="str">
        <f aca="false">VLOOKUP($A112,Questions!$A$3:$X$333,19,0)&amp;""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112" s="265" t="str">
        <f aca="false">VLOOKUP($A112,Questions!$A$3:$X$333,20,0)&amp;""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13" customFormat="false" ht="54" hidden="false" customHeight="true" outlineLevel="0" collapsed="false">
      <c r="A113" s="265" t="s">
        <v>76</v>
      </c>
      <c r="B113" s="265" t="str">
        <f aca="false">VLOOKUP($A113,Questions!$A$3:$X$333,2,0)&amp;""</f>
        <v>Do you have a documented change management process?</v>
      </c>
      <c r="C113" s="265" t="str">
        <f aca="false">VLOOKUP($A113,Questions!$A$3:$X$333,19,0)&amp;""</f>
        <v>The lack of a change management function is indicative of immature program processes. Answers to this question can provide insight into how well their responses (on the HECVAT) represent their actual environment(s).</v>
      </c>
      <c r="D113" s="265" t="str">
        <f aca="false">VLOOKUP($A113,Questions!$A$3:$X$333,20,0)&amp;""</f>
        <v>If a weak response is given to this answer, response scrutiny should be increased. Questions about configuration management, system authority, and documentation are appropriate.</v>
      </c>
      <c r="E113" s="228"/>
    </row>
    <row r="114" customFormat="false" ht="54" hidden="false" customHeight="true" outlineLevel="0" collapsed="false">
      <c r="A114" s="265" t="s">
        <v>77</v>
      </c>
      <c r="B114" s="265" t="str">
        <f aca="false">VLOOKUP($A114,Questions!$A$3:$X$333,2,0)&amp;""</f>
        <v>Does your change management process minimally include authorization, impact analysis, testing, and validation before moving changes to production?</v>
      </c>
      <c r="C114" s="265" t="str">
        <f aca="false">VLOOKUP($A114,Questions!$A$3:$X$333,19,0)&amp;""</f>
        <v>This question outlines a mature change management process. Changes should be analyzed for impact, officially approved, tested, and performed by authorized users.</v>
      </c>
      <c r="D114" s="265" t="str">
        <f aca="false">VLOOKUP($A114,Questions!$A$3:$X$333,20,0)&amp;""</f>
        <v>If the solution provider's response does not cover the details outlined in the reasoning, follow up and get specific responses, as needed.</v>
      </c>
      <c r="E114" s="228"/>
    </row>
    <row r="115" customFormat="false" ht="51" hidden="false" customHeight="true" outlineLevel="0" collapsed="false">
      <c r="A115" s="265" t="s">
        <v>78</v>
      </c>
      <c r="B115" s="265" t="str">
        <f aca="false">VLOOKUP($A115,Questions!$A$3:$X$333,2,0)&amp;""</f>
        <v>Does your change management process verify that all required third-party libraries and dependencies are still supported with each major change?</v>
      </c>
      <c r="C115" s="265" t="str">
        <f aca="false">VLOOKUP($A115,Questions!$A$3:$X$333,19,0)&amp;""</f>
        <v>This question is fundamentally about supply chain. The solution provider should be able to document its procedures around tracking libraries maintained by third parties.</v>
      </c>
      <c r="D115" s="265" t="str">
        <f aca="false">VLOOKUP($A115,Questions!$A$3:$X$333,20,0)&amp;""</f>
        <v>If the solution provider's response does not cover the details outlined in the reasoning, follow-up and get specific responses for each, as needed.</v>
      </c>
    </row>
    <row r="116" customFormat="false" ht="39.75" hidden="false" customHeight="true" outlineLevel="0" collapsed="false">
      <c r="A116" s="265" t="s">
        <v>79</v>
      </c>
      <c r="B116" s="265" t="str">
        <f aca="false">VLOOKUP($A116,Questions!$A$3:$X$333,2,0)&amp;""</f>
        <v>Do you have policy and procedure, currently implemented, managing how critical patches are applied to all systems and applications?</v>
      </c>
      <c r="C116" s="265" t="str">
        <f aca="false">VLOOKUP($A116,Questions!$A$3:$X$333,19,0)&amp;""</f>
        <v>Answers to this question will reveal the solution provider’s knowledge of their IT assets and their ability to respond to notifications about their systems and software.</v>
      </c>
      <c r="D116" s="265" t="str">
        <f aca="false">VLOOKUP($A116,Questions!$A$3:$X$333,20,0)&amp;""</f>
        <v>Follow-up inquiries for the solution provider’s patching practices will be institution/implementation specific.</v>
      </c>
    </row>
    <row r="117" customFormat="false" ht="66.75" hidden="false" customHeight="true" outlineLevel="0" collapsed="false">
      <c r="A117" s="265" t="s">
        <v>81</v>
      </c>
      <c r="B117" s="265" t="str">
        <f aca="false">VLOOKUP($A117,Questions!$A$3:$X$333,2,0)&amp;""</f>
        <v>Have you implemented policies and procedures that guide how security risks are mitigated until patches can be applied?</v>
      </c>
      <c r="C117" s="265" t="str">
        <f aca="false">VLOOKUP($A117,Questions!$A$3:$X$333,19,0)&amp;""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117" s="265" t="str">
        <f aca="false">VLOOKUP($A117,Questions!$A$3:$X$333,20,0)&amp;""</f>
        <v>Follow-up inquiries for the solution providers patching practices will be institution/implementation specific.</v>
      </c>
    </row>
    <row r="118" customFormat="false" ht="86.25" hidden="false" customHeight="true" outlineLevel="0" collapsed="false">
      <c r="A118" s="265" t="s">
        <v>82</v>
      </c>
      <c r="B118" s="265" t="str">
        <f aca="false">VLOOKUP($A118,Questions!$A$3:$X$333,2,0)&amp;""</f>
        <v>Do clients have the option to not participate in or postpone an upgrade to a new release?</v>
      </c>
      <c r="C118" s="265" t="str">
        <f aca="false">VLOOKUP($A118,Questions!$A$3:$X$333,19,0)&amp;""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118" s="265" t="str">
        <f aca="false">VLOOKUP($A118,Questions!$A$3:$X$333,20,0)&amp;""</f>
        <v>Follow-up inquiries for solution version releases will be institution/implementation specific.</v>
      </c>
    </row>
    <row r="119" customFormat="false" ht="46.25" hidden="false" customHeight="false" outlineLevel="0" collapsed="false">
      <c r="A119" s="265" t="s">
        <v>83</v>
      </c>
      <c r="B119" s="265" t="str">
        <f aca="false">VLOOKUP($A119,Questions!$A$3:$X$333,2,0)&amp;""</f>
        <v>Do you have a fully implemented solution support strategy that defines how many concurrent versions you support?</v>
      </c>
      <c r="C119" s="265" t="str">
        <f aca="false">VLOOKUP($A119,Questions!$A$3:$X$333,19,0)&amp;""</f>
        <v>Supporting multiple versions of a solution is challenging. Understanding the solution provider’s strategy and resources will provide insight into its ability to adequately support their customers.</v>
      </c>
      <c r="D119" s="265" t="str">
        <f aca="false">VLOOKUP($A119,Questions!$A$3:$X$333,20,0)&amp;""</f>
        <v>Follow-up inquiries for the solution provider’s support of concurrent versions will be institution/implementation specific.</v>
      </c>
    </row>
    <row r="120" customFormat="false" ht="49.5" hidden="false" customHeight="true" outlineLevel="0" collapsed="false">
      <c r="A120" s="265" t="s">
        <v>85</v>
      </c>
      <c r="B120" s="265" t="str">
        <f aca="false">VLOOKUP($A120,Questions!$A$3:$X$333,2,0)&amp;""</f>
        <v>Do you have a release schedule for product updates?</v>
      </c>
      <c r="C120" s="265" t="str">
        <f aca="false">VLOOKUP($A120,Questions!$A$3:$X$333,19,0)&amp;""</f>
        <v>Answers to this question will reveal the solution provider’s ability to plan in the short term. This is valuable information for customers so they can anticipate updates and potential bug fixes.</v>
      </c>
      <c r="D120" s="265" t="str">
        <f aca="false">VLOOKUP($A120,Questions!$A$3:$X$333,20,0)&amp;""</f>
        <v>Follow-up inquiries for the solution provider’s solution update practices will be institution/implementation specific.</v>
      </c>
    </row>
    <row r="121" customFormat="false" ht="38.25" hidden="false" customHeight="true" outlineLevel="0" collapsed="false">
      <c r="A121" s="265" t="s">
        <v>87</v>
      </c>
      <c r="B121" s="265" t="str">
        <f aca="false">VLOOKUP($A121,Questions!$A$3:$X$333,2,0)&amp;""</f>
        <v>Do you have a technology roadmap, for at least the next two years, for enhancements and bug fixes for the solution being assessed?</v>
      </c>
      <c r="C121" s="265" t="str">
        <f aca="false">VLOOKUP($A121,Questions!$A$3:$X$333,19,0)&amp;""</f>
        <v>Answers to this question will reveal the solution provider’s ability to plan for the future of their solution.</v>
      </c>
      <c r="D121" s="265" t="str">
        <f aca="false">VLOOKUP($A121,Questions!$A$3:$X$333,20,0)&amp;""</f>
        <v>Follow-up inquiries for the solution provider’s technology planning practices will be institution/implementation specific.</v>
      </c>
    </row>
    <row r="122" customFormat="false" ht="84.75" hidden="false" customHeight="true" outlineLevel="0" collapsed="false">
      <c r="A122" s="265" t="s">
        <v>89</v>
      </c>
      <c r="B122" s="265" t="str">
        <f aca="false">VLOOKUP($A122,Questions!$A$3:$X$333,2,0)&amp;""</f>
        <v>Can solution updates be completed without institutional involvement (i.e., technically or organizationally)?</v>
      </c>
      <c r="C122" s="265" t="str">
        <f aca="false">VLOOKUP($A122,Questions!$A$3:$X$333,19,0)&amp;""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122" s="265" t="str">
        <f aca="false">VLOOKUP($A122,Questions!$A$3:$X$333,20,0)&amp;""</f>
        <v>Vague responses to this question should be investigated further. Ask for additional documentation for customer responsibilities (in the context of information technology/security).</v>
      </c>
    </row>
    <row r="123" customFormat="false" ht="58.5" hidden="false" customHeight="true" outlineLevel="0" collapsed="false">
      <c r="A123" s="265" t="s">
        <v>90</v>
      </c>
      <c r="B123" s="265" t="str">
        <f aca="false">VLOOKUP($A123,Questions!$A$3:$X$333,2,0)&amp;""</f>
        <v>Are upgrades or system changes installed during off-peak hours or in a manner that does not impact the customer?</v>
      </c>
      <c r="C123" s="265" t="str">
        <f aca="false">VLOOKUP($A123,Questions!$A$3:$X$333,19,0)&amp;""</f>
        <v>Restricting system updates to a standard maintenance timeframe is important for ensuring that changes to production systems do not impact operations. It’s also important for troubleshooting any problems that may occur as a result of the changes.</v>
      </c>
      <c r="D123" s="265" t="str">
        <f aca="false">VLOOKUP($A123,Questions!$A$3:$X$333,20,0)&amp;""</f>
        <v>If the solution provider's response does not cover the details outlined in the reasoning, follow up and get specific responses, as needed.</v>
      </c>
    </row>
    <row r="124" customFormat="false" ht="52.5" hidden="false" customHeight="true" outlineLevel="0" collapsed="false">
      <c r="A124" s="265" t="s">
        <v>91</v>
      </c>
      <c r="B124" s="265" t="str">
        <f aca="false">VLOOKUP($A124,Questions!$A$3:$X$333,2,0)&amp;""</f>
        <v>Do procedures exist to provide that emergency changes are documented and authorized (including after-the-fact approval)?</v>
      </c>
      <c r="C124" s="265" t="str">
        <f aca="false">VLOOKUP($A124,Questions!$A$3:$X$333,19,0)&amp;""</f>
        <v>In the context of the CIA triad, this question is focused on system integrity, ensuring that system changes are only executed by authorized users. In the event of emergency changes, accountability and post-action review are expected.</v>
      </c>
      <c r="D124" s="265" t="str">
        <f aca="false">VLOOKUP($A124,Questions!$A$3:$X$333,20,0)&amp;""</f>
        <v>Follow up with a robust question set if a solution provider cannot clearly state full control of the integrity of their system(s).</v>
      </c>
    </row>
    <row r="125" customFormat="false" ht="66.75" hidden="false" customHeight="true" outlineLevel="0" collapsed="false">
      <c r="A125" s="265" t="s">
        <v>92</v>
      </c>
      <c r="B125" s="265" t="str">
        <f aca="false">VLOOKUP($A125,Questions!$A$3:$X$333,2,0)&amp;""</f>
        <v>Do you have a systems management and configuration strategy that encompasses servers, appliances, cloud services, applications, and mobile devices (company and employee owned)?</v>
      </c>
      <c r="C125" s="265" t="str">
        <f aca="false">VLOOKUP($A125,Questions!$A$3:$X$333,19,0)&amp;""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125" s="265" t="str">
        <f aca="false">VLOOKUP($A125,Questions!$A$3:$X$333,20,0)&amp;""</f>
        <v>Follow up with a robust question set if the solution provider cannot clearly state full control of the integrity of their system(s). Questions about administrator access on end-user devices and other maintenance and patching type questions are appropriate.</v>
      </c>
      <c r="E125" s="51" t="s">
        <v>487</v>
      </c>
    </row>
    <row r="126" customFormat="false" ht="20.85" hidden="false" customHeight="false" outlineLevel="0" collapsed="false">
      <c r="A126" s="31" t="str">
        <f aca="false">VLOOKUP(LEFT($A127,4),'Auto Responses'!$N$4:$O$38,2,0)&amp;""</f>
        <v> Data</v>
      </c>
      <c r="B126" s="31"/>
      <c r="C126" s="264" t="str">
        <f aca="false">Questions!$S$2</f>
        <v>Reason for Question</v>
      </c>
      <c r="D126" s="264" t="str">
        <f aca="false">Questions!$T$2</f>
        <v>Follow-Up Inquiries/Responses</v>
      </c>
    </row>
    <row r="127" customFormat="false" ht="50.25" hidden="false" customHeight="true" outlineLevel="0" collapsed="false">
      <c r="A127" s="265" t="s">
        <v>134</v>
      </c>
      <c r="B127" s="265" t="str">
        <f aca="false">VLOOKUP($A127,Questions!$A$3:$X$333,2,0)&amp;""</f>
        <v>Will the institution's data be stored on any devices (database servers, file servers, SAN, NAS, etc.) configured with non-RFC 1918/4193 (i.e., publicly routable) IP addresses?*</v>
      </c>
      <c r="C127" s="265" t="str">
        <f aca="false">VLOOKUP($A127,Questions!$A$3:$X$333,19,0)&amp;""</f>
        <v>Systems that are directly exposed to public internet resources are at greater risk than those that are not. Understanding the requirements for this configuration is important, particularly when assessing compensating controls.</v>
      </c>
      <c r="D127" s="265" t="str">
        <f aca="false">VLOOKUP($A127,Questions!$A$3:$X$333,20,0)&amp;""</f>
        <v>Ask the solution provider about its infrastructure and if there is a solution that eliminates the need for this environment.</v>
      </c>
    </row>
    <row r="128" customFormat="false" ht="42" hidden="false" customHeight="true" outlineLevel="0" collapsed="false">
      <c r="A128" s="265" t="s">
        <v>135</v>
      </c>
      <c r="B128" s="265" t="str">
        <f aca="false">VLOOKUP($A128,Questions!$A$3:$X$333,2,0)&amp;""</f>
        <v>Is the transport of sensitive data encrypted using security protocols/algorithms (e.g., system-to-client)?*</v>
      </c>
      <c r="C128" s="265" t="str">
        <f aca="false">VLOOKUP($A128,Questions!$A$3:$X$333,19,0)&amp;""</f>
        <v>The need for encryption in transport is unique to your institution's implementation of a system. In particular, the data flow between the system and the end users of the solution.</v>
      </c>
      <c r="D128" s="265" t="str">
        <f aca="false">VLOOKUP($A128,Questions!$A$3:$X$333,20,0)&amp;""</f>
        <v>Follow-up inquiries for data encryption between the system and end-users will be institution/implementation specific.</v>
      </c>
    </row>
    <row r="129" customFormat="false" ht="54.75" hidden="false" customHeight="true" outlineLevel="0" collapsed="false">
      <c r="A129" s="265" t="s">
        <v>136</v>
      </c>
      <c r="B129" s="265" t="str">
        <f aca="false">VLOOKUP($A129,Questions!$A$3:$X$333,2,0)&amp;""</f>
        <v>Is the storage of sensitive data encrypted using security protocols/algorithms (e.g., disk encryption, at-rest, files, and within a running database)?*</v>
      </c>
      <c r="C129" s="265" t="str">
        <f aca="false">VLOOKUP($A129,Questions!$A$3:$X$333,19,0)&amp;""</f>
        <v>The need for encryption at-rest is unique to your institution's implementation of a system. In particular, system components, architectures, and data flows all factor into the need for this control.</v>
      </c>
      <c r="D129" s="265" t="str">
        <f aca="false">VLOOKUP($A129,Questions!$A$3:$X$333,20,0)&amp;""</f>
        <v>Follow-up inquiries for data encryption at-rest will be institution/implementation specific.</v>
      </c>
      <c r="E129" s="228"/>
    </row>
    <row r="130" customFormat="false" ht="64.5" hidden="false" customHeight="true" outlineLevel="0" collapsed="false">
      <c r="A130" s="265" t="s">
        <v>137</v>
      </c>
      <c r="B130" s="265" t="str">
        <f aca="false">VLOOKUP($A130,Questions!$A$3:$X$333,2,0)&amp;""</f>
        <v>Do all cryptographic modules in use in your solution conform to the Federal Information Processing Standards (FIPS PUB 140-2 or 140-3)?*</v>
      </c>
      <c r="C130" s="265" t="str">
        <f aca="false">VLOOKUP($A130,Questions!$A$3:$X$333,19,0)&amp;""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30" s="265" t="str">
        <f aca="false">VLOOKUP($A130,Questions!$A$3:$X$333,20,0)&amp;""</f>
        <v>If the solution provider cannot accommodate open standards encryption requirements, direct them to NIST's Cryptographic Standards and Guidelines document &lt;https://csrc.nist.gov/Projects/Cryptographic-Standards-and-Guidelines&gt;.</v>
      </c>
      <c r="E130" s="228"/>
    </row>
    <row r="131" customFormat="false" ht="53.25" hidden="false" customHeight="true" outlineLevel="0" collapsed="false">
      <c r="A131" s="265" t="s">
        <v>138</v>
      </c>
      <c r="B131" s="265" t="str">
        <f aca="false">VLOOKUP($A131,Questions!$A$3:$X$333,2,0)&amp;""</f>
        <v>Will the institution's data be available within the system for a period of time at the completion of this contract?*</v>
      </c>
      <c r="C131" s="265" t="str">
        <f aca="false">VLOOKUP($A131,Questions!$A$3:$X$333,19,0)&amp;""</f>
        <v>When cancelling a solution, an institution will commonly want all institutional data that was provided to a solution provider. This questions allows the solution provider to state their general practices when a customer leaves their environment.</v>
      </c>
      <c r="D131" s="265" t="str">
        <f aca="false">VLOOKUP($A131,Questions!$A$3:$X$333,20,0)&amp;""</f>
        <v>A solution provider's response should be clear and concise. Be wary of vague responses to this questions and inquire about export specifics, as needed.</v>
      </c>
    </row>
    <row r="132" customFormat="false" ht="50.25" hidden="false" customHeight="true" outlineLevel="0" collapsed="false">
      <c r="A132" s="265" t="s">
        <v>139</v>
      </c>
      <c r="B132" s="265" t="str">
        <f aca="false">VLOOKUP($A132,Questions!$A$3:$X$333,2,0)&amp;""</f>
        <v>Are ownership rights to all data, inputs, outputs, and metadata retained even through a provider acquisition or bankruptcy event?*</v>
      </c>
      <c r="C132" s="265" t="str">
        <f aca="false">VLOOKUP($A132,Questions!$A$3:$X$333,19,0)&amp;""</f>
        <v>This question clarifies the position of the institution in the case of acquisition or bankruptcy. Expect clear responses to this question. If they are vague, be sure to follow up based on institutional counsel guidance.</v>
      </c>
      <c r="D132" s="265" t="str">
        <f aca="false">VLOOKUP($A132,Questions!$A$3:$X$333,20,0)&amp;""</f>
        <v>If a solution provider's response is unsatisfactory, engage institutional counsel to appropriately address any ownership concerns.</v>
      </c>
    </row>
    <row r="133" customFormat="false" ht="63.75" hidden="false" customHeight="true" outlineLevel="0" collapsed="false">
      <c r="A133" s="265" t="s">
        <v>140</v>
      </c>
      <c r="B133" s="265" t="str">
        <f aca="false">VLOOKUP($A133,Questions!$A$3:$X$333,2,0)&amp;""</f>
        <v>Do backups containing the institution's data ever leave the institution's data zone either physically or via network routing?*</v>
      </c>
      <c r="C133" s="265" t="str">
        <f aca="false">VLOOKUP($A133,Questions!$A$3:$X$333,19,0)&amp;""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33" s="265" t="str">
        <f aca="false">VLOOKUP($A133,Questions!$A$3:$X$333,20,0)&amp;""</f>
        <v>Follow-up inquiries for data backup procedures/practices will be institution/implementation specific.</v>
      </c>
    </row>
    <row r="134" customFormat="false" ht="56.25" hidden="false" customHeight="true" outlineLevel="0" collapsed="false">
      <c r="A134" s="265" t="s">
        <v>141</v>
      </c>
      <c r="B134" s="265" t="str">
        <f aca="false">VLOOKUP($A134,Questions!$A$3:$X$333,2,0)&amp;""</f>
        <v>Is media used for long-term retention of business data and archival purposes stored in a secure, environmentally protected area?*</v>
      </c>
      <c r="C134" s="265" t="str">
        <f aca="false">VLOOKUP($A134,Questions!$A$3:$X$333,19,0)&amp;""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34" s="265" t="str">
        <f aca="false">VLOOKUP($A134,Questions!$A$3:$X$333,20,0)&amp;""</f>
        <v>Vague responses to this question should be investigated further. Ask for additional documentation and verify that procedure (and possibly training) exists to ensure proper media handling activity.</v>
      </c>
    </row>
    <row r="135" customFormat="false" ht="56.25" hidden="false" customHeight="true" outlineLevel="0" collapsed="false">
      <c r="A135" s="265" t="s">
        <v>142</v>
      </c>
      <c r="B135" s="265" t="str">
        <f aca="false">VLOOKUP($A135,Questions!$A$3:$X$333,2,0)&amp;""</f>
        <v>At the completion of this contract, will data be returned to the institution and/or deleted from all your systems and archives?</v>
      </c>
      <c r="C135" s="265" t="str">
        <f aca="false">VLOOKUP($A135,Questions!$A$3:$X$333,19,0)&amp;""</f>
        <v>When cancelling a solution, an institution will commonly want all institutional data that was provided to a solution provider. This question allows the solution provider to state its general practices when a customer leaves its environment.</v>
      </c>
      <c r="D135" s="265" t="str">
        <f aca="false">VLOOKUP($A135,Questions!$A$3:$X$333,20,0)&amp;""</f>
        <v>A solution provider's response should be clear and concise. Be wary of vague responses to this questions and inquire about export specifics, as needed.</v>
      </c>
    </row>
    <row r="136" customFormat="false" ht="53.25" hidden="false" customHeight="true" outlineLevel="0" collapsed="false">
      <c r="A136" s="265" t="s">
        <v>143</v>
      </c>
      <c r="B136" s="265" t="str">
        <f aca="false">VLOOKUP($A136,Questions!$A$3:$X$333,2,0)&amp;""</f>
        <v>Can the institution extract a full or partial backup of data?</v>
      </c>
      <c r="C136" s="265" t="str">
        <f aca="false">VLOOKUP($A136,Questions!$A$3:$X$333,19,0)&amp;""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36" s="265" t="str">
        <f aca="false">VLOOKUP($A136,Questions!$A$3:$X$333,20,0)&amp;""</f>
        <v>A solution provider's response should be clear and concise. Be wary of vague responses to this questions and inquire about export specifics, as needed.</v>
      </c>
    </row>
    <row r="137" customFormat="false" ht="46.5" hidden="false" customHeight="true" outlineLevel="0" collapsed="false">
      <c r="A137" s="265" t="s">
        <v>144</v>
      </c>
      <c r="B137" s="265" t="str">
        <f aca="false">VLOOKUP($A137,Questions!$A$3:$X$333,2,0)&amp;""</f>
        <v>Do current backups include all operating system software, utilities, security software, application software, and data files necessary for recovery?</v>
      </c>
      <c r="C137" s="265" t="str">
        <f aca="false">VLOOKUP($A137,Questions!$A$3:$X$333,19,0)&amp;""</f>
        <v>The purpose of this question is to define the scope of backup operations and the scope at which a solution provider may readily recover when backup restoration is required.</v>
      </c>
      <c r="D137" s="265" t="str">
        <f aca="false">VLOOKUP($A137,Questions!$A$3:$X$333,20,0)&amp;""</f>
        <v>Follow-up inquiries for backup content scope will be institution/implementation specific.</v>
      </c>
    </row>
    <row r="138" customFormat="false" ht="74.25" hidden="false" customHeight="true" outlineLevel="0" collapsed="false">
      <c r="A138" s="265" t="s">
        <v>145</v>
      </c>
      <c r="B138" s="265" t="str">
        <f aca="false">VLOOKUP($A138,Questions!$A$3:$X$333,2,0)&amp;""</f>
        <v>Are you performing off-site backups (i.e., digitally moved off site)?</v>
      </c>
      <c r="C138" s="265" t="str">
        <f aca="false">VLOOKUP($A138,Questions!$A$3:$X$333,19,0)&amp;""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38" s="265" t="str">
        <f aca="false">VLOOKUP($A138,Questions!$A$3:$X$333,20,0)&amp;""</f>
        <v>Follow-up inquiries for off-site, digital backups will be institution/implementation specific.</v>
      </c>
    </row>
    <row r="139" customFormat="false" ht="56.25" hidden="false" customHeight="true" outlineLevel="0" collapsed="false">
      <c r="A139" s="265" t="s">
        <v>146</v>
      </c>
      <c r="B139" s="265" t="str">
        <f aca="false">VLOOKUP($A139,Questions!$A$3:$X$333,2,0)&amp;""</f>
        <v>Are physical backups taken off-site (i.e., physically moved off site)?</v>
      </c>
      <c r="C139" s="265" t="str">
        <f aca="false">VLOOKUP($A139,Questions!$A$3:$X$333,19,0)&amp;""</f>
        <v>When data is moved physically (e.g.,HDD, print, etc.) off-site, the policies and implemented procedures are important to know. Unencrypted data taken outside secured areas introduces unnecessary risks.</v>
      </c>
      <c r="D139" s="265" t="str">
        <f aca="false">VLOOKUP($A139,Questions!$A$3:$X$333,20,0)&amp;""</f>
        <v>Follow-up inquiries for off-site, physical backups will be institution/implementation specific.</v>
      </c>
    </row>
    <row r="140" customFormat="false" ht="60" hidden="false" customHeight="true" outlineLevel="0" collapsed="false">
      <c r="A140" s="265" t="s">
        <v>147</v>
      </c>
      <c r="B140" s="265" t="str">
        <f aca="false">VLOOKUP($A140,Questions!$A$3:$X$333,2,0)&amp;""</f>
        <v>Are data backups encrypted?</v>
      </c>
      <c r="C140" s="265" t="str">
        <f aca="false">VLOOKUP($A140,Questions!$A$3:$X$333,19,0)&amp;""</f>
        <v>The need for encryption at rest (for backups) is unique to your institution's implementation of a system. In particular, system components, architectures, and data flows all factor into the need for this control.</v>
      </c>
      <c r="D140" s="265" t="str">
        <f aca="false">VLOOKUP($A140,Questions!$A$3:$X$333,20,0)&amp;""</f>
        <v>Follow-up inquiries for data backup encryption at-rest will be institution/implementation specific.</v>
      </c>
    </row>
    <row r="141" customFormat="false" ht="72" hidden="false" customHeight="true" outlineLevel="0" collapsed="false">
      <c r="A141" s="265" t="s">
        <v>148</v>
      </c>
      <c r="B141" s="265" t="str">
        <f aca="false">VLOOKUP($A141,Questions!$A$3:$X$333,2,0)&amp;""</f>
        <v>Do you have a media handling process that is documented and currently implemented that meets established business needs and regulatory requirements, including end-of-life, repurposing, and data-sanitization procedures?</v>
      </c>
      <c r="C141" s="265" t="str">
        <f aca="false">VLOOKUP($A141,Questions!$A$3:$X$333,19,0)&amp;""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1" s="265" t="str">
        <f aca="false">VLOOKUP($A141,Questions!$A$3:$X$333,20,0)&amp;""</f>
        <v>Vague responses to this question should be investigated further. Ask for additional documentation and verify that procedure (and possibly training) exists to ensure proper media handling activity.</v>
      </c>
    </row>
    <row r="142" customFormat="false" ht="56.25" hidden="false" customHeight="true" outlineLevel="0" collapsed="false">
      <c r="A142" s="265" t="s">
        <v>149</v>
      </c>
      <c r="B142" s="265" t="str">
        <f aca="false">VLOOKUP($A142,Questions!$A$3:$X$333,2,0)&amp;""</f>
        <v>Does the process described in DATA-15 adhere to DoD 5220.22-M and/or NIST SP 800-88 standards?</v>
      </c>
      <c r="C142" s="265" t="str">
        <f aca="false">VLOOKUP($A142,Questions!$A$3:$X$333,19,0)&amp;""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2" s="265" t="str">
        <f aca="false">VLOOKUP($A142,Questions!$A$3:$X$333,20,0)&amp;""</f>
        <v>Follow-up inquiries for DoD 5220.22-M and/or SP800-88 standards will be institution specific.</v>
      </c>
    </row>
    <row r="143" customFormat="false" ht="68.25" hidden="false" customHeight="true" outlineLevel="0" collapsed="false">
      <c r="A143" s="265" t="s">
        <v>150</v>
      </c>
      <c r="B143" s="265" t="str">
        <f aca="false">VLOOKUP($A143,Questions!$A$3:$X$333,2,0)&amp;""</f>
        <v>Does your staff (or third party) have access to institutional data (e.g., financial, PHI, or other sensitive information) through any means?</v>
      </c>
      <c r="C143" s="265" t="str">
        <f aca="false">VLOOKUP($A143,Questions!$A$3:$X$333,19,0)&amp;""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43" s="265" t="str">
        <f aca="false">VLOOKUP($A143,Questions!$A$3:$X$333,20,0)&amp;""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44" customFormat="false" ht="143.25" hidden="false" customHeight="true" outlineLevel="0" collapsed="false">
      <c r="A144" s="265" t="s">
        <v>151</v>
      </c>
      <c r="B144" s="265" t="str">
        <f aca="false">VLOOKUP($A144,Questions!$A$3:$X$333,2,0)&amp;""</f>
        <v>Do you have a documented and currently implemented strategy for securing employee workstations when they work remotely (i.e., not in a trusted computing environment)?</v>
      </c>
      <c r="C144" s="265" t="str">
        <f aca="false">VLOOKUP($A144,Questions!$A$3:$X$333,19,0)&amp;""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44" s="265" t="str">
        <f aca="false">VLOOKUP($A144,Questions!$A$3:$X$333,20,0)&amp;""</f>
        <v>Vague responses to this question should be investigated further. Ask for additional documentation and verify that procedure (and possibly training) exists to ensure proper customer data handling activity.</v>
      </c>
    </row>
    <row r="145" customFormat="false" ht="97.5" hidden="false" customHeight="true" outlineLevel="0" collapsed="false">
      <c r="A145" s="265" t="s">
        <v>152</v>
      </c>
      <c r="B145" s="265" t="str">
        <f aca="false">VLOOKUP($A145,Questions!$A$3:$X$333,2,0)&amp;""</f>
        <v>Does the environment provide for dedicated single-tenant capabilities? If not, describe how your solution or environment separates data from different customers (e.g., logically, physically, single tenancy, multi-tenancy).</v>
      </c>
      <c r="C145" s="265" t="str">
        <f aca="false">VLOOKUP($A145,Questions!$A$3:$X$333,19,0)&amp;""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45" s="265" t="str">
        <f aca="false">VLOOKUP($A145,Questions!$A$3:$X$333,20,0)&amp;""</f>
        <v>Follow-up inquiries for dedicated single-tenant capabilities will be institution/implementation specific.</v>
      </c>
    </row>
    <row r="146" customFormat="false" ht="68.25" hidden="false" customHeight="true" outlineLevel="0" collapsed="false">
      <c r="A146" s="265" t="s">
        <v>153</v>
      </c>
      <c r="B146" s="265" t="str">
        <f aca="false">VLOOKUP($A146,Questions!$A$3:$X$333,2,0)&amp;""</f>
        <v>Are ownership rights to all data, inputs, outputs, and metadata retained by the institution?</v>
      </c>
      <c r="C146" s="265" t="str">
        <f aca="false">VLOOKUP($A146,Questions!$A$3:$X$333,19,0)&amp;""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46" s="265" t="str">
        <f aca="false">VLOOKUP($A146,Questions!$A$3:$X$333,20,0)&amp;""</f>
        <v>If a solution provider's response is unsatisfactory, engage institutional counsel to appropriately address any ownership concerns.</v>
      </c>
    </row>
    <row r="147" customFormat="false" ht="60.75" hidden="false" customHeight="true" outlineLevel="0" collapsed="false">
      <c r="A147" s="265" t="s">
        <v>154</v>
      </c>
      <c r="B147" s="265" t="str">
        <f aca="false">VLOOKUP($A147,Questions!$A$3:$X$333,2,0)&amp;""</f>
        <v>In the event of imminent bankruptcy, closing of business, or retirement of service, will you provide 90 days for customers to get their data out of the system and migrate applications?</v>
      </c>
      <c r="C147" s="265" t="str">
        <f aca="false">VLOOKUP($A147,Questions!$A$3:$X$333,19,0)&amp;""</f>
        <v>This question clarifies the position of the institution in the case of acquisition or bankruptcy. Expect clear responses to this question. If they are vague, be sure to follow up based on institutional counsel guidance.</v>
      </c>
      <c r="D147" s="265" t="str">
        <f aca="false">VLOOKUP($A147,Questions!$A$3:$X$333,20,0)&amp;""</f>
        <v>If a solution provider's response is unsatisfactory, engage institutional counsel to appropriately address any ownership concerns.</v>
      </c>
    </row>
    <row r="148" customFormat="false" ht="74.25" hidden="false" customHeight="true" outlineLevel="0" collapsed="false">
      <c r="A148" s="265" t="s">
        <v>155</v>
      </c>
      <c r="B148" s="265" t="str">
        <f aca="false">VLOOKUP($A148,Questions!$A$3:$X$333,2,0)&amp;""</f>
        <v>Are involatile backup copies made according to predefined schedules and securely stored and protected?</v>
      </c>
      <c r="C148" s="265" t="str">
        <f aca="false">VLOOKUP($A148,Questions!$A$3:$X$333,19,0)&amp;""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8" s="265" t="str">
        <f aca="false">VLOOKUP($A148,Questions!$A$3:$X$333,20,0)&amp;""</f>
        <v>An institution's use case will drive the requirements for backup strategy. Ensure that the institution's use case and risk tolerance can be met by solution provider systems.</v>
      </c>
    </row>
    <row r="149" customFormat="false" ht="81" hidden="false" customHeight="true" outlineLevel="0" collapsed="false">
      <c r="A149" s="265" t="s">
        <v>156</v>
      </c>
      <c r="B149" s="265" t="str">
        <f aca="false">VLOOKUP($A149,Questions!$A$3:$X$333,2,0)&amp;""</f>
        <v>Do you have a cryptographic key management process (generation, exchange, storage, safeguards, use, vetting, and replacement) that is documented and currently implemented, for all system components (e.g., database, system, web, etc.)?</v>
      </c>
      <c r="C149" s="265" t="str">
        <f aca="false">VLOOKUP($A149,Questions!$A$3:$X$333,19,0)&amp;""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49" s="265" t="str">
        <f aca="false">VLOOKUP($A149,Questions!$A$3:$X$333,20,0)&amp;""</f>
        <v>Follow up with the solution provider to ensure that all components of the system are considered. This includes system-to-system, system-to-client, applications, system accounts, etc.</v>
      </c>
      <c r="E149" s="51" t="s">
        <v>487</v>
      </c>
    </row>
    <row r="150" customFormat="false" ht="20.85" hidden="false" customHeight="false" outlineLevel="0" collapsed="false">
      <c r="A150" s="31" t="str">
        <f aca="false">VLOOKUP(LEFT($A151,4),'Auto Responses'!$N$4:$O$38,2,0)&amp;""</f>
        <v> Datacenter</v>
      </c>
      <c r="B150" s="31"/>
      <c r="C150" s="264" t="str">
        <f aca="false">Questions!$S$2</f>
        <v>Reason for Question</v>
      </c>
      <c r="D150" s="264" t="str">
        <f aca="false">Questions!$T$2</f>
        <v>Follow-Up Inquiries/Responses</v>
      </c>
    </row>
    <row r="151" customFormat="false" ht="56.25" hidden="false" customHeight="true" outlineLevel="0" collapsed="false">
      <c r="A151" s="265" t="s">
        <v>172</v>
      </c>
      <c r="B151" s="265" t="str">
        <f aca="false">VLOOKUP($A151,Questions!$A$3:$X$333,2,0)&amp;""</f>
        <v>Select your hosting option.</v>
      </c>
      <c r="C151" s="265" t="str">
        <f aca="false">VLOOKUP($A151,Questions!$A$3:$X$333,19,0)&amp;""</f>
        <v>Understanding the hosting environment may reveal infrastructure risks that may not be apparent by other means and provides context to the responses provided throughout this HECVAT.</v>
      </c>
      <c r="D151" s="265" t="str">
        <f aca="false">VLOOKUP($A151,Questions!$A$3:$X$333,20,0)&amp;""</f>
        <v>Follow-up inquiries for hosting options will be institution/implementation specific.</v>
      </c>
    </row>
    <row r="152" customFormat="false" ht="131.25" hidden="false" customHeight="true" outlineLevel="0" collapsed="false">
      <c r="A152" s="265" t="s">
        <v>173</v>
      </c>
      <c r="B152" s="265" t="str">
        <f aca="false">VLOOKUP($A152,Questions!$A$3:$X$333,2,0)&amp;""</f>
        <v>Is a SOC 2 Type 2 report available for the hosting environment?</v>
      </c>
      <c r="C152" s="265" t="str">
        <f aca="false">VLOOKUP($A152,Questions!$A$3:$X$333,19,0)&amp;""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2" s="265" t="str">
        <f aca="false">VLOOKUP($A152,Questions!$A$3:$X$333,20,0)&amp;""</f>
        <v>Follow-up inquiries for additional solution provider's SOC 2 Type 2 reports will be institution/implementation specific.</v>
      </c>
    </row>
    <row r="153" customFormat="false" ht="99.75" hidden="false" customHeight="true" outlineLevel="0" collapsed="false">
      <c r="A153" s="265" t="s">
        <v>174</v>
      </c>
      <c r="B153" s="265" t="str">
        <f aca="false">VLOOKUP($A153,Questions!$A$3:$X$333,2,0)&amp;""</f>
        <v>Are you generally able to accommodate storing each institution's data within its geographic region?</v>
      </c>
      <c r="C153" s="265" t="str">
        <f aca="false">VLOOKUP($A153,Questions!$A$3:$X$333,19,0)&amp;""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3" s="265" t="str">
        <f aca="false">VLOOKUP($A153,Questions!$A$3:$X$333,20,0)&amp;""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c r="E153" s="228"/>
    </row>
    <row r="154" customFormat="false" ht="64.5" hidden="false" customHeight="true" outlineLevel="0" collapsed="false">
      <c r="A154" s="265" t="s">
        <v>175</v>
      </c>
      <c r="B154" s="265" t="str">
        <f aca="false">VLOOKUP($A154,Questions!$A$3:$X$333,2,0)&amp;""</f>
        <v>Are the data centers staffed 24 hours a day, seven days a week (i.e., 24 x 7 x 365)?</v>
      </c>
      <c r="C154" s="265" t="str">
        <f aca="false">VLOOKUP($A154,Questions!$A$3:$X$333,19,0)&amp;""</f>
        <v>Solution Providers that operate their own datacenter(s) can implement their own monitoring strategy. Use the solution provider's response to this questions to verify/validate other responses related to ownership/co-location/physical security.</v>
      </c>
      <c r="D154" s="265" t="str">
        <f aca="false">VLOOKUP($A154,Questions!$A$3:$X$333,20,0)&amp;""</f>
        <v>Follow-up inquiries for data center staffing will be institution/implementation specific.</v>
      </c>
      <c r="E154" s="228"/>
    </row>
    <row r="155" customFormat="false" ht="72" hidden="false" customHeight="true" outlineLevel="0" collapsed="false">
      <c r="A155" s="265" t="s">
        <v>176</v>
      </c>
      <c r="B155" s="265" t="str">
        <f aca="false">VLOOKUP($A155,Questions!$A$3:$X$333,2,0)&amp;""</f>
        <v>Are your servers separated from other companies via a physical barrier, such as a cage or hard walls?</v>
      </c>
      <c r="C155" s="265" t="str">
        <f aca="false">VLOOKUP($A155,Questions!$A$3:$X$333,19,0)&amp;""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5" s="265" t="str">
        <f aca="false">VLOOKUP($A155,Questions!$A$3:$X$333,20,0)&amp;""</f>
        <v>Follow-up inquiries for system physical security will be institution/implementation specific.</v>
      </c>
    </row>
    <row r="156" customFormat="false" ht="78" hidden="false" customHeight="true" outlineLevel="0" collapsed="false">
      <c r="A156" s="265" t="s">
        <v>177</v>
      </c>
      <c r="B156" s="265" t="str">
        <f aca="false">VLOOKUP($A156,Questions!$A$3:$X$333,2,0)&amp;""</f>
        <v>Does a physical barrier fully enclose the physical space, preventing unauthorized physical contact with any of your devices?*</v>
      </c>
      <c r="C156" s="265" t="str">
        <f aca="false">VLOOKUP($A156,Questions!$A$3:$X$333,19,0)&amp;""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6" s="265" t="str">
        <f aca="false">VLOOKUP($A156,Questions!$A$3:$X$333,20,0)&amp;""</f>
        <v>Follow-up inquiries for system physical security will be institution/implementation specific.</v>
      </c>
    </row>
    <row r="157" customFormat="false" ht="68.25" hidden="false" customHeight="true" outlineLevel="0" collapsed="false">
      <c r="A157" s="265" t="s">
        <v>178</v>
      </c>
      <c r="B157" s="265" t="str">
        <f aca="false">VLOOKUP($A157,Questions!$A$3:$X$333,2,0)&amp;""</f>
        <v>Are your primary and secondary data centers geographically diverse?</v>
      </c>
      <c r="C157" s="265" t="str">
        <f aca="false">VLOOKUP($A157,Questions!$A$3:$X$333,19,0)&amp;""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7" s="265" t="str">
        <f aca="false">VLOOKUP($A157,Questions!$A$3:$X$333,20,0)&amp;""</f>
        <v>Follow-up inquiries for geographic diversity in datacenters will be institution/implementation specific.</v>
      </c>
    </row>
    <row r="158" customFormat="false" ht="67.5" hidden="false" customHeight="true" outlineLevel="0" collapsed="false">
      <c r="A158" s="265" t="s">
        <v>179</v>
      </c>
      <c r="B158" s="265" t="str">
        <f aca="false">VLOOKUP($A158,Questions!$A$3:$X$333,2,0)&amp;""</f>
        <v>Is the service hosted in a high-availability environment?</v>
      </c>
      <c r="C158" s="265" t="str">
        <f aca="false">VLOOKUP($A158,Questions!$A$3:$X$333,19,0)&amp;""</f>
        <v>In the context of the CIA triad, this question is focused on the availability of a system (or set of systems).</v>
      </c>
      <c r="D158" s="265" t="str">
        <f aca="false">VLOOKUP($A158,Questions!$A$3:$X$333,20,0)&amp;""</f>
        <v>The weight placed on the solution provider's response will be specific to the institution's use case and solution requirements.</v>
      </c>
    </row>
    <row r="159" customFormat="false" ht="36" hidden="false" customHeight="true" outlineLevel="0" collapsed="false">
      <c r="A159" s="265" t="s">
        <v>180</v>
      </c>
      <c r="B159" s="265" t="str">
        <f aca="false">VLOOKUP($A159,Questions!$A$3:$X$333,2,0)&amp;""</f>
        <v>Is redundant power available for all data centers where institutional data will reside?</v>
      </c>
      <c r="C159" s="265" t="str">
        <f aca="false">VLOOKUP($A159,Questions!$A$3:$X$333,19,0)&amp;""</f>
        <v>In the context of the CIA triad, this question is focused on the availability of a system (or set of systems).</v>
      </c>
      <c r="D159" s="265" t="str">
        <f aca="false">VLOOKUP($A159,Questions!$A$3:$X$333,20,0)&amp;""</f>
        <v>The weight placed on the solution provider's response will be specific to the institution's use case and solution requirements.</v>
      </c>
    </row>
    <row r="160" customFormat="false" ht="71.25" hidden="false" customHeight="true" outlineLevel="0" collapsed="false">
      <c r="A160" s="265" t="s">
        <v>181</v>
      </c>
      <c r="B160" s="265" t="str">
        <f aca="false">VLOOKUP($A160,Questions!$A$3:$X$333,2,0)&amp;""</f>
        <v>Are redundant power strategies tested?*</v>
      </c>
      <c r="C160" s="265" t="str">
        <f aca="false">VLOOKUP($A160,Questions!$A$3:$X$333,19,0)&amp;""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60" s="265" t="str">
        <f aca="false">VLOOKUP($A160,Questions!$A$3:$X$333,20,0)&amp;""</f>
        <v>Follow-up inquiries for redundant power testing details will be institution/implementation specific.</v>
      </c>
    </row>
    <row r="161" customFormat="false" ht="53.25" hidden="false" customHeight="true" outlineLevel="0" collapsed="false">
      <c r="A161" s="265" t="s">
        <v>182</v>
      </c>
      <c r="B161" s="265" t="str">
        <f aca="false">VLOOKUP($A161,Questions!$A$3:$X$333,2,0)&amp;""</f>
        <v>Does the center where the data will reside have cooling and fire-suppression systems that are active and regularly tested?</v>
      </c>
      <c r="C161" s="265" t="str">
        <f aca="false">VLOOKUP($A161,Questions!$A$3:$X$333,19,0)&amp;""</f>
        <v>Installing appropriate environmental controls is crucial to maintaining the integrity of the hosting site. Vague responses to this question should be met with concern and appropriate follow up, based on your institutions risk tolerance.</v>
      </c>
      <c r="D161" s="265" t="str">
        <f aca="false">VLOOKUP($A161,Questions!$A$3:$X$333,20,0)&amp;""</f>
        <v>Follow-up inquiries for cooling and fire suppression systems will be institution/implementation specific.</v>
      </c>
    </row>
    <row r="162" customFormat="false" ht="52.5" hidden="false" customHeight="true" outlineLevel="0" collapsed="false">
      <c r="A162" s="265" t="s">
        <v>183</v>
      </c>
      <c r="B162" s="265" t="str">
        <f aca="false">VLOOKUP($A162,Questions!$A$3:$X$333,2,0)&amp;""</f>
        <v>Do you have Internet Service Provider (ISP) redundancy?</v>
      </c>
      <c r="C162" s="265" t="str">
        <f aca="false">VLOOKUP($A162,Questions!$A$3:$X$333,19,0)&amp;""</f>
        <v>In the context of the CIA triad, this question is focused on the availability of a system (or set of systems).</v>
      </c>
      <c r="D162" s="265" t="str">
        <f aca="false">VLOOKUP($A162,Questions!$A$3:$X$333,20,0)&amp;""</f>
        <v>The weight placed on the solution provider's response will be specific to the institution's use case and solution requirements.</v>
      </c>
    </row>
    <row r="163" customFormat="false" ht="39" hidden="false" customHeight="true" outlineLevel="0" collapsed="false">
      <c r="A163" s="265" t="s">
        <v>184</v>
      </c>
      <c r="B163" s="265" t="str">
        <f aca="false">VLOOKUP($A163,Questions!$A$3:$X$333,2,0)&amp;""</f>
        <v>Does every data center where the institution's data will reside have multiple telephone company or network provider entrances to the facility?</v>
      </c>
      <c r="C163" s="265" t="str">
        <f aca="false">VLOOKUP($A163,Questions!$A$3:$X$333,19,0)&amp;""</f>
        <v>In the context of the CIA triad, this question is focused on the availability of a system (or set of systems).</v>
      </c>
      <c r="D163" s="265" t="str">
        <f aca="false">VLOOKUP($A163,Questions!$A$3:$X$333,20,0)&amp;""</f>
        <v>The weight placed on the solution provider's response will be specific to the institution's use case and solution requirements.</v>
      </c>
    </row>
    <row r="164" customFormat="false" ht="56.25" hidden="false" customHeight="true" outlineLevel="0" collapsed="false">
      <c r="A164" s="265" t="s">
        <v>185</v>
      </c>
      <c r="B164" s="265" t="str">
        <f aca="false">VLOOKUP($A164,Questions!$A$3:$X$333,2,0)&amp;""</f>
        <v>Do you require multifactor authentication for all administrative accounts in your environment?</v>
      </c>
      <c r="C164" s="265" t="str">
        <f aca="false">VLOOKUP($A164,Questions!$A$3:$X$333,19,0)&amp;""</f>
        <v>2FA/MFA, implemented correctly, strengthens the security state of a system. 2FA/MFA is commonly implemented and in many use cases is a requirement for account protection purposes.</v>
      </c>
      <c r="D164" s="265" t="str">
        <f aca="false">VLOOKUP($A164,Questions!$A$3:$X$333,20,0)&amp;""</f>
        <v>Ask the solution provider about hardware and software options, future roadmap for implementations and support, etc.</v>
      </c>
    </row>
    <row r="165" customFormat="false" ht="51" hidden="false" customHeight="true" outlineLevel="0" collapsed="false">
      <c r="A165" s="265" t="s">
        <v>186</v>
      </c>
      <c r="B165" s="265" t="str">
        <f aca="false">VLOOKUP($A165,Questions!$A$3:$X$333,2,0)&amp;""</f>
        <v>Are you using your cloud provider's available hardening tools or pre-hardened images?</v>
      </c>
      <c r="C165" s="265" t="str">
        <f aca="false">VLOOKUP($A165,Questions!$A$3:$X$333,19,0)&amp;""</f>
        <v>In the context of the CIA triad, this question is focused on the integrity of a system (or set of systems).</v>
      </c>
      <c r="D165" s="265" t="str">
        <f aca="false">VLOOKUP($A165,Questions!$A$3:$X$333,20,0)&amp;""</f>
        <v>Ask the solution provider about their system lifecycle practices and security methodology.</v>
      </c>
    </row>
    <row r="166" customFormat="false" ht="83.25" hidden="false" customHeight="true" outlineLevel="0" collapsed="false">
      <c r="A166" s="265" t="s">
        <v>187</v>
      </c>
      <c r="B166" s="265" t="str">
        <f aca="false">VLOOKUP($A166,Questions!$A$3:$X$333,2,0)&amp;""</f>
        <v>Does your cloud solution provider have access to your encryption keys?</v>
      </c>
      <c r="C166" s="265" t="str">
        <f aca="false">VLOOKUP($A166,Questions!$A$3:$X$333,19,0)&amp;""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6" s="265" t="str">
        <f aca="false">VLOOKUP($A166,Questions!$A$3:$X$333,20,0)&amp;""</f>
        <v>Follow up with the solution provider to ensure that all components of the system are considered. This includes system-to-system, system-to-client, applications, system accounts, etc.</v>
      </c>
    </row>
    <row r="167" customFormat="false" ht="20.85" hidden="false" customHeight="false" outlineLevel="0" collapsed="false">
      <c r="A167" s="31" t="str">
        <f aca="false">VLOOKUP(LEFT($A168,4),'Auto Responses'!$N$4:$O$38,2,0)&amp;""</f>
        <v> Firewalls, IDS, IPS, and Networking</v>
      </c>
      <c r="B167" s="31"/>
      <c r="C167" s="264" t="str">
        <f aca="false">Questions!$S$2</f>
        <v>Reason for Question</v>
      </c>
      <c r="D167" s="264" t="str">
        <f aca="false">Questions!$T$2</f>
        <v>Follow-Up Inquiries/Responses</v>
      </c>
    </row>
    <row r="168" customFormat="false" ht="46.25" hidden="false" customHeight="false" outlineLevel="0" collapsed="false">
      <c r="A168" s="265" t="s">
        <v>188</v>
      </c>
      <c r="B168" s="265" t="str">
        <f aca="false">VLOOKUP($A168,Questions!$A$3:$X$333,2,0)&amp;""</f>
        <v>Are you utilizing a stateful packet inspection (SPI) firewall?*</v>
      </c>
      <c r="C168" s="265" t="str">
        <f aca="false">VLOOKUP($A168,Questions!$A$3:$X$333,19,0)&amp;""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8" s="265" t="str">
        <f aca="false">VLOOKUP($A168,Questions!$A$3:$X$333,20,0)&amp;""</f>
        <v>Follow-up inquiries for firewall capabilities will be institution/implementation specific.</v>
      </c>
    </row>
    <row r="169" customFormat="false" ht="63.75" hidden="false" customHeight="true" outlineLevel="0" collapsed="false">
      <c r="A169" s="265" t="s">
        <v>189</v>
      </c>
      <c r="B169" s="265" t="str">
        <f aca="false">VLOOKUP($A169,Questions!$A$3:$X$333,2,0)&amp;""</f>
        <v>Do you have a documented policy for firewall change requests?*</v>
      </c>
      <c r="C169" s="265" t="str">
        <f aca="false">VLOOKUP($A169,Questions!$A$3:$X$333,19,0)&amp;""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9" s="265" t="str">
        <f aca="false">VLOOKUP($A169,Questions!$A$3:$X$333,20,0)&amp;""</f>
        <v>Follow-up inquiries for firewall change requests will be institution/implementation specific.</v>
      </c>
      <c r="E169" s="228"/>
    </row>
    <row r="170" customFormat="false" ht="71.25" hidden="false" customHeight="true" outlineLevel="0" collapsed="false">
      <c r="A170" s="265" t="s">
        <v>190</v>
      </c>
      <c r="B170" s="265" t="str">
        <f aca="false">VLOOKUP($A170,Questions!$A$3:$X$333,2,0)&amp;""</f>
        <v>Have you implemented an intrusion detection system (network-based)?*</v>
      </c>
      <c r="C170" s="265" t="str">
        <f aca="false">VLOOKUP($A170,Questions!$A$3:$X$333,19,0)&amp;""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0" s="265" t="str">
        <f aca="false">VLOOKUP($A170,Questions!$A$3:$X$333,20,0)&amp;""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c r="E170" s="228"/>
    </row>
    <row r="171" customFormat="false" ht="72" hidden="false" customHeight="true" outlineLevel="0" collapsed="false">
      <c r="A171" s="265" t="s">
        <v>191</v>
      </c>
      <c r="B171" s="265" t="str">
        <f aca="false">VLOOKUP($A171,Questions!$A$3:$X$333,2,0)&amp;""</f>
        <v>Do you employ host-based intrusion detection?*</v>
      </c>
      <c r="C171" s="265" t="str">
        <f aca="false">VLOOKUP($A171,Questions!$A$3:$X$333,19,0)&amp;""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1" s="265" t="str">
        <f aca="false">VLOOKUP($A171,Questions!$A$3:$X$333,20,0)&amp;""</f>
        <v>Ask the solution provider to summarize why host-based intrusion detection tools are not implemented in their environment. What compensating controls are in place to detect configuration changes and/or failures of integrity?</v>
      </c>
    </row>
    <row r="172" customFormat="false" ht="57.75" hidden="false" customHeight="true" outlineLevel="0" collapsed="false">
      <c r="A172" s="265" t="s">
        <v>192</v>
      </c>
      <c r="B172" s="265" t="str">
        <f aca="false">VLOOKUP($A172,Questions!$A$3:$X$333,2,0)&amp;""</f>
        <v>Are audit logs available for all changes to the network, firewall, IDS, and IPS systems?*</v>
      </c>
      <c r="C172" s="265" t="str">
        <f aca="false">VLOOKUP($A172,Questions!$A$3:$X$333,19,0)&amp;""</f>
        <v>Strong logging capabilities are vital to the proper management of a network. Implementing an immature system that lacks sufficient logging capabilities exposes an institution to great risk.</v>
      </c>
      <c r="D172" s="265" t="str">
        <f aca="false">VLOOKUP($A172,Questions!$A$3:$X$333,20,0)&amp;""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row>
    <row r="173" customFormat="false" ht="51" hidden="false" customHeight="true" outlineLevel="0" collapsed="false">
      <c r="A173" s="265" t="s">
        <v>193</v>
      </c>
      <c r="B173" s="265" t="str">
        <f aca="false">VLOOKUP($A173,Questions!$A$3:$X$333,2,0)&amp;""</f>
        <v>Is authority for firewall change approval documented? Please list approver names or titles in Additional Info.</v>
      </c>
      <c r="C173" s="265" t="str">
        <f aca="false">VLOOKUP($A173,Questions!$A$3:$X$333,19,0)&amp;""</f>
        <v>Modifications to firewall rule sets can have significant repercussions. To ensure the integrity of the rule set, this question targets the individual (or responsible party) for changes and the reasoning behind their authority.</v>
      </c>
      <c r="D173" s="265" t="str">
        <f aca="false">VLOOKUP($A173,Questions!$A$3:$X$333,20,0)&amp;""</f>
        <v>Ensure that a separation of duties exists in network security configurations. Pay close attention to responsibility overlap in small organizations, where staff often fill multiple roles.</v>
      </c>
    </row>
    <row r="174" customFormat="false" ht="72.75" hidden="false" customHeight="true" outlineLevel="0" collapsed="false">
      <c r="A174" s="265" t="s">
        <v>194</v>
      </c>
      <c r="B174" s="265" t="str">
        <f aca="false">VLOOKUP($A174,Questions!$A$3:$X$333,2,0)&amp;""</f>
        <v>Have you implemented an intrusion prevention system (network-based)?</v>
      </c>
      <c r="C174" s="265" t="str">
        <f aca="false">VLOOKUP($A174,Questions!$A$3:$X$333,19,0)&amp;""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4" s="265" t="str">
        <f aca="false">VLOOKUP($A174,Questions!$A$3:$X$333,20,0)&amp;""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5" customFormat="false" ht="72.75" hidden="false" customHeight="true" outlineLevel="0" collapsed="false">
      <c r="A175" s="265" t="s">
        <v>195</v>
      </c>
      <c r="B175" s="265" t="str">
        <f aca="false">VLOOKUP($A175,Questions!$A$3:$X$333,2,0)&amp;""</f>
        <v>Do you employ host-based intrusion prevention?</v>
      </c>
      <c r="C175" s="265" t="str">
        <f aca="false">VLOOKUP($A175,Questions!$A$3:$X$333,19,0)&amp;""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5" s="265" t="str">
        <f aca="false">VLOOKUP($A175,Questions!$A$3:$X$333,20,0)&amp;""</f>
        <v>Ask the solution provider to summarize why host-based intrusion prevention tools are not implemented in their environment. What compensating controls are in place to detect malicious activity and to actively prevent its function?</v>
      </c>
    </row>
    <row r="176" customFormat="false" ht="66.75" hidden="false" customHeight="true" outlineLevel="0" collapsed="false">
      <c r="A176" s="265" t="s">
        <v>196</v>
      </c>
      <c r="B176" s="265" t="str">
        <f aca="false">VLOOKUP($A176,Questions!$A$3:$X$333,2,0)&amp;""</f>
        <v>Are you employing any next-generation persistent threat (NGPT) monitoring?</v>
      </c>
      <c r="C176" s="265" t="str">
        <f aca="false">VLOOKUP($A176,Questions!$A$3:$X$333,19,0)&amp;""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6" s="265" t="str">
        <f aca="false">VLOOKUP($A176,Questions!$A$3:$X$333,20,0)&amp;""</f>
        <v>Follow-up inquiries for next-generation persistent threat monitoring will be institution/implementation specific.</v>
      </c>
    </row>
    <row r="177" customFormat="false" ht="70.5" hidden="false" customHeight="true" outlineLevel="0" collapsed="false">
      <c r="A177" s="265" t="s">
        <v>197</v>
      </c>
      <c r="B177" s="265" t="str">
        <f aca="false">VLOOKUP($A177,Questions!$A$3:$X$333,2,0)&amp;""</f>
        <v>Is intrusion monitoring performed internally or by a third-party service?</v>
      </c>
      <c r="C177" s="265" t="str">
        <f aca="false">VLOOKUP($A177,Questions!$A$3:$X$333,19,0)&amp;""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7" s="265" t="str">
        <f aca="false">VLOOKUP($A177,Questions!$A$3:$X$333,20,0)&amp;""</f>
        <v>Follow-up inquiries for intrusion monitoring will be institution/implementation specific.</v>
      </c>
    </row>
    <row r="178" customFormat="false" ht="63.75" hidden="false" customHeight="true" outlineLevel="0" collapsed="false">
      <c r="A178" s="265" t="s">
        <v>198</v>
      </c>
      <c r="B178" s="265" t="str">
        <f aca="false">VLOOKUP($A178,Questions!$A$3:$X$333,2,0)&amp;""</f>
        <v>Do you monitor for intrusions on a 24 x 7 x 365 basis?</v>
      </c>
      <c r="C178" s="265" t="str">
        <f aca="false">VLOOKUP($A178,Questions!$A$3:$X$333,19,0)&amp;""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8" s="265" t="str">
        <f aca="false">VLOOKUP($A178,Questions!$A$3:$X$333,20,0)&amp;""</f>
        <v>Follow-up inquiries for 24 x 7 x 365 monitoring will be institution/implementation specific.</v>
      </c>
      <c r="E178" s="51" t="s">
        <v>487</v>
      </c>
    </row>
    <row r="179" customFormat="false" ht="20.85" hidden="false" customHeight="false" outlineLevel="0" collapsed="false">
      <c r="A179" s="31" t="str">
        <f aca="false">VLOOKUP(LEFT($A180,4),'Auto Responses'!$N$4:$O$38,2,0)&amp;""</f>
        <v> Policies, Processes, and Procedures</v>
      </c>
      <c r="B179" s="31"/>
      <c r="C179" s="264" t="str">
        <f aca="false">Questions!$S$2</f>
        <v>Reason for Question</v>
      </c>
      <c r="D179" s="264" t="str">
        <f aca="false">Questions!$T$2</f>
        <v>Follow-Up Inquiries/Responses</v>
      </c>
    </row>
    <row r="180" customFormat="false" ht="69" hidden="false" customHeight="true" outlineLevel="0" collapsed="false">
      <c r="A180" s="265" t="s">
        <v>93</v>
      </c>
      <c r="B180" s="265" t="str">
        <f aca="false">VLOOKUP($A180,Questions!$A$3:$X$333,2,0)&amp;""</f>
        <v>Do you have a documented patch management process?*</v>
      </c>
      <c r="C180" s="265" t="str">
        <f aca="false">VLOOKUP($A180,Questions!$A$3:$X$333,19,0)&amp;""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180" s="265" t="str">
        <f aca="false">VLOOKUP($A180,Questions!$A$3:$X$333,20,0)&amp;""</f>
        <v>Follow up with a robust question set if the solution provider cannot clearly state full control of their system patching strategy. Questions about patch testing, testing environments, threat mitigation, incident remediation, etc., are appropriate.</v>
      </c>
    </row>
    <row r="181" customFormat="false" ht="51" hidden="false" customHeight="true" outlineLevel="0" collapsed="false">
      <c r="A181" s="265" t="s">
        <v>94</v>
      </c>
      <c r="B181" s="265" t="str">
        <f aca="false">VLOOKUP($A181,Questions!$A$3:$X$333,2,0)&amp;""</f>
        <v>Can your organization comply with institutional policies on privacy and data protection with regard to users of institutional systems, if required?*</v>
      </c>
      <c r="C181" s="265" t="str">
        <f aca="false">VLOOKUP($A181,Questions!$A$3:$X$333,19,0)&amp;""</f>
        <v>This is a general inquiry to determine if the solution provider has reviewed the institution's policies and is committed to complying with them.</v>
      </c>
      <c r="D181" s="265" t="str">
        <f aca="false">VLOOKUP($A181,Questions!$A$3:$X$333,20,0)&amp;""</f>
        <v>If a solution provider is vague in their response, follow up with direct questions about the institution's policies and ensure the expectation of compliance is clear with the solution provider.</v>
      </c>
      <c r="E181" s="228"/>
    </row>
    <row r="182" customFormat="false" ht="43.5" hidden="false" customHeight="true" outlineLevel="0" collapsed="false">
      <c r="A182" s="265" t="s">
        <v>96</v>
      </c>
      <c r="B182" s="265" t="str">
        <f aca="false">VLOOKUP($A182,Questions!$A$3:$X$333,2,0)&amp;""</f>
        <v>Is your company subject to the institution's geographic region's laws and regulations?*</v>
      </c>
      <c r="C182" s="265" t="str">
        <f aca="false">VLOOKUP($A182,Questions!$A$3:$X$333,19,0)&amp;""</f>
        <v>This is a general inquiry to determine if the solution provider is well-versed in applicable laws and regulations that apply in the institution's region of business operation.</v>
      </c>
      <c r="D182" s="265" t="str">
        <f aca="false">VLOOKUP($A182,Questions!$A$3:$X$333,20,0)&amp;""</f>
        <v>If a solution provider is vague in their response, follow up with direct questions about doing business in your state/region/country and any laws that are pertinent to the institution.</v>
      </c>
      <c r="E182" s="228"/>
    </row>
    <row r="183" customFormat="false" ht="65.25" hidden="false" customHeight="true" outlineLevel="0" collapsed="false">
      <c r="A183" s="265" t="s">
        <v>98</v>
      </c>
      <c r="B183" s="265" t="str">
        <f aca="false">VLOOKUP($A183,Questions!$A$3:$X$333,2,0)&amp;""</f>
        <v>Can you accommodate encryption requirements using open standards?</v>
      </c>
      <c r="C183" s="265" t="str">
        <f aca="false">VLOOKUP($A183,Questions!$A$3:$X$333,19,0)&amp;""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83" s="265" t="str">
        <f aca="false">VLOOKUP($A183,Questions!$A$3:$X$333,20,0)&amp;""</f>
        <v>If the solution provider cannot accommodate open standards encryption requirements, direct them to NIST's Cryptographic Standards and Guidelines document &lt;https://csrc.nist.gov/Projects/Cryptographic-Standards-and-Guidelines&gt;.</v>
      </c>
    </row>
    <row r="184" customFormat="false" ht="58.5" hidden="false" customHeight="true" outlineLevel="0" collapsed="false">
      <c r="A184" s="265" t="s">
        <v>99</v>
      </c>
      <c r="B184" s="265" t="str">
        <f aca="false">VLOOKUP($A184,Questions!$A$3:$X$333,2,0)&amp;""</f>
        <v>Do you have a documented systems development life cycle (SDLC)?</v>
      </c>
      <c r="C184" s="265" t="str">
        <f aca="false">VLOOKUP($A184,Questions!$A$3:$X$333,19,0)&amp;""</f>
        <v>Mature solution lifecycle management can position a solution provider to sufficiently plan, implement, and manage systems that better protect institutional data.</v>
      </c>
      <c r="D184" s="265" t="str">
        <f aca="false">VLOOKUP($A184,Questions!$A$3:$X$333,20,0)&amp;""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185" customFormat="false" ht="65.25" hidden="false" customHeight="true" outlineLevel="0" collapsed="false">
      <c r="A185" s="265" t="s">
        <v>101</v>
      </c>
      <c r="B185" s="265" t="str">
        <f aca="false">VLOOKUP($A185,Questions!$A$3:$X$333,2,0)&amp;""</f>
        <v>Do you perform background screenings or multi-state background checks on all employees prior to their first day of work?</v>
      </c>
      <c r="C185" s="265" t="str">
        <f aca="false">VLOOKUP($A185,Questions!$A$3:$X$333,19,0)&amp;""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185" s="265" t="str">
        <f aca="false">VLOOKUP($A185,Questions!$A$3:$X$333,20,0)&amp;""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186" customFormat="false" ht="56.25" hidden="false" customHeight="true" outlineLevel="0" collapsed="false">
      <c r="A186" s="265" t="s">
        <v>102</v>
      </c>
      <c r="B186" s="265" t="str">
        <f aca="false">VLOOKUP($A186,Questions!$A$3:$X$333,2,0)&amp;""</f>
        <v>Do you require new employees to fill out agreements and review policies?</v>
      </c>
      <c r="C186" s="265" t="str">
        <f aca="false">VLOOKUP($A186,Questions!$A$3:$X$333,19,0)&amp;""</f>
        <v>Setting the expectation of performance and increasing awareness of security-related responsibilities are part of these initial-hiring documents. Oftentimes these agreements and reviews are conducted during orientation for new employees.</v>
      </c>
      <c r="D186" s="265" t="str">
        <f aca="false">VLOOKUP($A186,Questions!$A$3:$X$333,20,0)&amp;""</f>
        <v>If a solution provider's practices are not clear, inquire about training requirements for employees, especially the frequency and scope of content.</v>
      </c>
    </row>
    <row r="187" customFormat="false" ht="141.75" hidden="false" customHeight="true" outlineLevel="0" collapsed="false">
      <c r="A187" s="265" t="s">
        <v>104</v>
      </c>
      <c r="B187" s="265" t="str">
        <f aca="false">VLOOKUP($A187,Questions!$A$3:$X$333,2,0)&amp;""</f>
        <v>Do you have a documented information security policy?</v>
      </c>
      <c r="C187" s="265" t="str">
        <f aca="false">VLOOKUP($A187,Questions!$A$3:$X$333,19,0)&amp;""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187" s="265" t="str">
        <f aca="false">VLOOKUP($A187,Questions!$A$3:$X$333,20,0)&amp;""</f>
        <v>If the solution provider does not have an incident response plan, point them to the NIST Computer Security Incident Handling Guide &lt;https://csrc.nist.gov/publications/detail/sp/800-61/rev-2/final&gt;.</v>
      </c>
    </row>
    <row r="188" customFormat="false" ht="70.5" hidden="false" customHeight="true" outlineLevel="0" collapsed="false">
      <c r="A188" s="265" t="s">
        <v>106</v>
      </c>
      <c r="B188" s="265" t="str">
        <f aca="false">VLOOKUP($A188,Questions!$A$3:$X$333,2,0)&amp;""</f>
        <v>Are information security principles designed into the product lifecycle?</v>
      </c>
      <c r="C188" s="265" t="str">
        <f aca="false">VLOOKUP($A188,Questions!$A$3:$X$333,19,0)&amp;""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88" s="265" t="str">
        <f aca="false">VLOOKUP($A188,Questions!$A$3:$X$333,20,0)&amp;""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89" customFormat="false" ht="39" hidden="false" customHeight="true" outlineLevel="0" collapsed="false">
      <c r="A189" s="265" t="s">
        <v>108</v>
      </c>
      <c r="B189" s="265" t="str">
        <f aca="false">VLOOKUP($A189,Questions!$A$3:$X$333,2,0)&amp;""</f>
        <v>Will you comply with applicable breach notification laws?</v>
      </c>
      <c r="C189" s="265" t="str">
        <f aca="false">VLOOKUP($A189,Questions!$A$3:$X$333,19,0)&amp;""</f>
        <v>This is a general inquiry to determine if the solution provider is well-versed in applicable laws and regulations that apply in the institution's region of business operation.</v>
      </c>
      <c r="D189" s="265" t="str">
        <f aca="false">VLOOKUP($A189,Questions!$A$3:$X$333,20,0)&amp;""</f>
        <v>If a solution provider is vague in their response, follow up with direct questions about doing business in your state/region/country and any laws that are pertinent to the institution.</v>
      </c>
    </row>
    <row r="190" customFormat="false" ht="68.25" hidden="false" customHeight="true" outlineLevel="0" collapsed="false">
      <c r="A190" s="265" t="s">
        <v>109</v>
      </c>
      <c r="B190" s="265" t="str">
        <f aca="false">VLOOKUP($A190,Questions!$A$3:$X$333,2,0)&amp;""</f>
        <v>Do you have an information security awareness program?</v>
      </c>
      <c r="C190" s="265" t="str">
        <f aca="false">VLOOKUP($A190,Questions!$A$3:$X$333,19,0)&amp;""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0" s="265" t="str">
        <f aca="false">VLOOKUP($A190,Questions!$A$3:$X$333,20,0)&amp;""</f>
        <v>Follow-up inquiries for information security awareness programs will be institution/implementation specific.</v>
      </c>
    </row>
    <row r="191" customFormat="false" ht="66.75" hidden="false" customHeight="true" outlineLevel="0" collapsed="false">
      <c r="A191" s="265" t="s">
        <v>110</v>
      </c>
      <c r="B191" s="265" t="str">
        <f aca="false">VLOOKUP($A191,Questions!$A$3:$X$333,2,0)&amp;""</f>
        <v>Is security awareness training mandatory for all employees?</v>
      </c>
      <c r="C191" s="265" t="str">
        <f aca="false">VLOOKUP($A191,Questions!$A$3:$X$333,19,0)&amp;""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1" s="265" t="str">
        <f aca="false">VLOOKUP($A191,Questions!$A$3:$X$333,20,0)&amp;""</f>
        <v>Follow-up inquiries for information security awareness programs will be institution/implementation specific.</v>
      </c>
    </row>
    <row r="192" customFormat="false" ht="66.75" hidden="false" customHeight="true" outlineLevel="0" collapsed="false">
      <c r="A192" s="265" t="s">
        <v>112</v>
      </c>
      <c r="B192" s="265" t="str">
        <f aca="false">VLOOKUP($A192,Questions!$A$3:$X$333,2,0)&amp;""</f>
        <v>Do you have process and procedure(s) documented, and currently followed, that require a review and update of the access list(s) for privileged accounts?</v>
      </c>
      <c r="C192" s="265" t="str">
        <f aca="false">VLOOKUP($A192,Questions!$A$3:$X$333,19,0)&amp;""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192" s="265" t="str">
        <f aca="false">VLOOKUP($A192,Questions!$A$3:$X$333,20,0)&amp;""</f>
        <v>Ask the solution provider to summarize their implemented policies and/or procedures.</v>
      </c>
    </row>
    <row r="193" customFormat="false" ht="71.25" hidden="false" customHeight="true" outlineLevel="0" collapsed="false">
      <c r="A193" s="265" t="s">
        <v>113</v>
      </c>
      <c r="B193" s="265" t="str">
        <f aca="false">VLOOKUP($A193,Questions!$A$3:$X$333,2,0)&amp;""</f>
        <v>Do you have documented, and currently implemented, internal audit processes and procedures?</v>
      </c>
      <c r="C193" s="265" t="str">
        <f aca="false">VLOOKUP($A193,Questions!$A$3:$X$333,19,0)&amp;""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193" s="265" t="str">
        <f aca="false">VLOOKUP($A193,Questions!$A$3:$X$333,20,0)&amp;""</f>
        <v>Follow-up inquiries for internal audit processes and procedures will be institution/implementation specific.</v>
      </c>
      <c r="E193" s="228"/>
    </row>
    <row r="194" customFormat="false" ht="44.25" hidden="false" customHeight="true" outlineLevel="0" collapsed="false">
      <c r="A194" s="265" t="s">
        <v>114</v>
      </c>
      <c r="B194" s="265" t="str">
        <f aca="false">VLOOKUP($A194,Questions!$A$3:$X$333,2,0)&amp;""</f>
        <v>Does your organization have physical security controls and policies in place?</v>
      </c>
      <c r="C194" s="265" t="str">
        <f aca="false">VLOOKUP($A194,Questions!$A$3:$X$333,19,0)&amp;""</f>
        <v>This question aims to understand the physical security state of the solution provider's operating environment and whether or not physical assets are appropriately protected.</v>
      </c>
      <c r="D194" s="265" t="str">
        <f aca="false">VLOOKUP($A194,Questions!$A$3:$X$333,20,0)&amp;""</f>
        <v>Follow-up inquiries for physical security controls and policies will be institution/implementation specific.</v>
      </c>
      <c r="E194" s="51" t="s">
        <v>487</v>
      </c>
    </row>
    <row r="195" customFormat="false" ht="20.85" hidden="false" customHeight="false" outlineLevel="0" collapsed="false">
      <c r="A195" s="31" t="str">
        <f aca="false">VLOOKUP(LEFT($A196,4),'Auto Responses'!$N$4:$O$38,2,0)&amp;""</f>
        <v> Incident Handling</v>
      </c>
      <c r="B195" s="31"/>
      <c r="C195" s="264" t="str">
        <f aca="false">Questions!$S$2</f>
        <v>Reason for Question</v>
      </c>
      <c r="D195" s="264" t="str">
        <f aca="false">Questions!$T$2</f>
        <v>Follow-Up Inquiries/Responses</v>
      </c>
    </row>
    <row r="196" customFormat="false" ht="96.75" hidden="false" customHeight="true" outlineLevel="0" collapsed="false">
      <c r="A196" s="265" t="s">
        <v>199</v>
      </c>
      <c r="B196" s="265" t="str">
        <f aca="false">VLOOKUP($A196,Questions!$A$3:$X$333,2,0)&amp;""</f>
        <v>Do you have a formal incident response plan?</v>
      </c>
      <c r="C196" s="265" t="str">
        <f aca="false">VLOOKUP($A196,Questions!$A$3:$X$333,19,0)&amp;""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96" s="265" t="str">
        <f aca="false">VLOOKUP($A196,Questions!$A$3:$X$333,20,0)&amp;""</f>
        <v>If the solution provider does not have an incident response plan, direct them to the NIST Computer Security Incident Handling Guide &lt;https://csrc.nist.gov/publications/detail/sp/800-61/rev-2/final&gt;.</v>
      </c>
    </row>
    <row r="197" customFormat="false" ht="72.75" hidden="false" customHeight="true" outlineLevel="0" collapsed="false">
      <c r="A197" s="265" t="s">
        <v>200</v>
      </c>
      <c r="B197" s="265" t="str">
        <f aca="false">VLOOKUP($A197,Questions!$A$3:$X$333,2,0)&amp;""</f>
        <v>Do you either have an internal incident response team or retain an external team?</v>
      </c>
      <c r="C197" s="265" t="str">
        <f aca="false">VLOOKUP($A197,Questions!$A$3:$X$333,19,0)&amp;""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97" s="265" t="str">
        <f aca="false">VLOOKUP($A197,Questions!$A$3:$X$333,20,0)&amp;""</f>
        <v>If the solution provider does not have an incident response plan, direct them to the NIST Computer Security Incident Handling Guide &lt;https://csrc.nist.gov/publications/detail/sp/800-61/rev-2/final&gt;.</v>
      </c>
    </row>
    <row r="198" customFormat="false" ht="74.25" hidden="false" customHeight="true" outlineLevel="0" collapsed="false">
      <c r="A198" s="265" t="s">
        <v>201</v>
      </c>
      <c r="B198" s="265" t="str">
        <f aca="false">VLOOKUP($A198,Questions!$A$3:$X$333,2,0)&amp;""</f>
        <v>Do you have the capability to respond to incidents on a 24 x 7 x 365 basis?</v>
      </c>
      <c r="C198" s="265" t="str">
        <f aca="false">VLOOKUP($A198,Questions!$A$3:$X$333,19,0)&amp;""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98" s="265" t="str">
        <f aca="false">VLOOKUP($A198,Questions!$A$3:$X$333,20,0)&amp;""</f>
        <v>If the solution provider does not have an incident response team, direct them to the NIST Computer Security Incident Handling Guide &lt;https://csrc.nist.gov/publications/detail/sp/800-61/rev-2/final&gt;.</v>
      </c>
    </row>
    <row r="199" customFormat="false" ht="81" hidden="false" customHeight="true" outlineLevel="0" collapsed="false">
      <c r="A199" s="265" t="s">
        <v>202</v>
      </c>
      <c r="B199" s="265" t="str">
        <f aca="false">VLOOKUP($A199,Questions!$A$3:$X$333,2,0)&amp;""</f>
        <v>Do you carry cyber-risk insurance to protect against unforeseen service outages, data that is lost or stolen, and security incidents?</v>
      </c>
      <c r="C199" s="265" t="str">
        <f aca="false">VLOOKUP($A199,Questions!$A$3:$X$333,19,0)&amp;""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99" s="265" t="str">
        <f aca="false">VLOOKUP($A199,Questions!$A$3:$X$333,20,0)&amp;""</f>
        <v>If the solution provider does not have an incident response plan, point them to the NIST Computer Security Incident Handling Guide &lt;https://csrc.nist.gov/publications/detail/sp/800-61/rev-2/final&gt;.</v>
      </c>
      <c r="E199" s="51" t="s">
        <v>487</v>
      </c>
    </row>
    <row r="200" customFormat="false" ht="20.85" hidden="false" customHeight="false" outlineLevel="0" collapsed="false">
      <c r="A200" s="31" t="str">
        <f aca="false">VLOOKUP(LEFT($A201,4),'Auto Responses'!$N$4:$O$38,2,0)&amp;""</f>
        <v> Vulnerability Management</v>
      </c>
      <c r="B200" s="31"/>
      <c r="C200" s="264" t="str">
        <f aca="false">Questions!$S$2</f>
        <v>Reason for Question</v>
      </c>
      <c r="D200" s="264" t="str">
        <f aca="false">Questions!$T$2</f>
        <v>Follow-Up Inquiries/Responses</v>
      </c>
    </row>
    <row r="201" customFormat="false" ht="61.15" hidden="false" customHeight="false" outlineLevel="0" collapsed="false">
      <c r="A201" s="265" t="s">
        <v>203</v>
      </c>
      <c r="B201" s="265" t="str">
        <f aca="false">VLOOKUP($A201,Questions!$A$3:$X$333,2,0)&amp;""</f>
        <v>Are your systems and applications scanned with an authenticated user account for vulnerabilities (that are remediated) prior to new releases?*</v>
      </c>
      <c r="C201" s="265" t="str">
        <f aca="false">VLOOKUP($A201,Questions!$A$3:$X$333,19,0)&amp;""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201" s="265" t="str">
        <f aca="false">VLOOKUP($A201,Questions!$A$3:$X$333,20,0)&amp;""</f>
        <v>Ask if there are plans to implement these processes. Ask the solution provider to summarize their decision behind not scanning their applications for vulnerabilities prior to release.</v>
      </c>
    </row>
    <row r="202" customFormat="false" ht="52.5" hidden="false" customHeight="true" outlineLevel="0" collapsed="false">
      <c r="A202" s="265" t="s">
        <v>204</v>
      </c>
      <c r="B202" s="265" t="str">
        <f aca="false">VLOOKUP($A202,Questions!$A$3:$X$333,2,0)&amp;""</f>
        <v>Will you provide results of application and system vulnerability scans to the institution?*</v>
      </c>
      <c r="C202" s="265" t="str">
        <f aca="false">VLOOKUP($A202,Questions!$A$3:$X$333,19,0)&amp;""</f>
        <v>If a solution provider is scanning its applications and/or systems, oftentimes an institution will want to review the report, if possible. Preferably, any finding on the reports will have a matching mitigation action.</v>
      </c>
      <c r="D202" s="265" t="str">
        <f aca="false">VLOOKUP($A202,Questions!$A$3:$X$333,20,0)&amp;""</f>
        <v>If a solution provider is hesitant to share the report, ask for a summarized version; some insight is better than none.</v>
      </c>
    </row>
    <row r="203" customFormat="false" ht="66" hidden="false" customHeight="true" outlineLevel="0" collapsed="false">
      <c r="A203" s="265" t="s">
        <v>205</v>
      </c>
      <c r="B203" s="265" t="str">
        <f aca="false">VLOOKUP($A203,Questions!$A$3:$X$333,2,0)&amp;""</f>
        <v>Will you allow the institution to perform its own vulnerability testing and/or scanning of your systems and/or application, provided that testing is performed at a mutually agreed upon time and date?*</v>
      </c>
      <c r="C203" s="265" t="str">
        <f aca="false">VLOOKUP($A203,Questions!$A$3:$X$333,19,0)&amp;""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203" s="265" t="str">
        <f aca="false">VLOOKUP($A203,Questions!$A$3:$X$333,20,0)&amp;""</f>
        <v>Follow-up inquiries for vulnerability scanning and penetration testing will be institution/implementation specific.</v>
      </c>
    </row>
    <row r="204" customFormat="false" ht="98.25" hidden="false" customHeight="true" outlineLevel="0" collapsed="false">
      <c r="A204" s="265" t="s">
        <v>207</v>
      </c>
      <c r="B204" s="265" t="str">
        <f aca="false">VLOOKUP($A204,Questions!$A$3:$X$333,2,0)&amp;""</f>
        <v>Have your systems and applications had a third-party security assessment completed in the last year?</v>
      </c>
      <c r="C204" s="265" t="str">
        <f aca="false">VLOOKUP($A204,Questions!$A$3:$X$333,19,0)&amp;""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4" s="265" t="str">
        <f aca="false">VLOOKUP($A204,Questions!$A$3:$X$333,20,0)&amp;""</f>
        <v>Ask if there has ever been a vulnerability scan. A short lapse in external assessment validity can be understood (if there is a planned assessment), but a significant time lapse or no scan whatsoever is cause for elevated levels of concern.</v>
      </c>
    </row>
    <row r="205" customFormat="false" ht="81" hidden="false" customHeight="true" outlineLevel="0" collapsed="false">
      <c r="A205" s="265" t="s">
        <v>209</v>
      </c>
      <c r="B205" s="265" t="str">
        <f aca="false">VLOOKUP($A205,Questions!$A$3:$X$333,2,0)&amp;""</f>
        <v>Do you regularly scan for common web application security vulnerabilities (e.g., SQL injection, XSS, XSRF, etc.)?</v>
      </c>
      <c r="C205" s="265" t="str">
        <f aca="false">VLOOKUP($A205,Questions!$A$3:$X$333,19,0)&amp;""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205" s="265" t="str">
        <f aca="false">VLOOKUP($A205,Questions!$A$3:$X$333,20,0)&amp;""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206" customFormat="false" ht="89.25" hidden="false" customHeight="true" outlineLevel="0" collapsed="false">
      <c r="A206" s="265" t="s">
        <v>211</v>
      </c>
      <c r="B206" s="265" t="str">
        <f aca="false">VLOOKUP($A206,Questions!$A$3:$X$333,2,0)&amp;""</f>
        <v>Are your systems and applications regularly scanned externally for vulnerabilities?</v>
      </c>
      <c r="C206" s="265" t="str">
        <f aca="false">VLOOKUP($A206,Questions!$A$3:$X$333,19,0)&amp;""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6" s="265" t="str">
        <f aca="false">VLOOKUP($A206,Questions!$A$3:$X$333,20,0)&amp;""</f>
        <v>If "no," inquire if there has ever been a vulnerability scan. A short lapse in external assessment validity can be understood (if there is a planned assessment), but a significant time lapse or no scan whatsoever is cause for elevated levels of concern.</v>
      </c>
      <c r="E206" s="51" t="s">
        <v>487</v>
      </c>
    </row>
    <row r="207" customFormat="false" ht="20.85" hidden="false" customHeight="false" outlineLevel="0" collapsed="false">
      <c r="A207" s="31" t="str">
        <f aca="false">VLOOKUP(LEFT($A208,4),'Auto Responses'!$N$4:$O$38,2,0)&amp;""</f>
        <v>HIPAA Compliance </v>
      </c>
      <c r="B207" s="31"/>
      <c r="C207" s="264" t="str">
        <f aca="false">Questions!$S$2</f>
        <v>Reason for Question</v>
      </c>
      <c r="D207" s="264" t="str">
        <f aca="false">Questions!$T$2</f>
        <v>Follow-Up Inquiries/Responses</v>
      </c>
    </row>
    <row r="208" customFormat="false" ht="50.25" hidden="false" customHeight="true" outlineLevel="0" collapsed="false">
      <c r="A208" s="265" t="s">
        <v>254</v>
      </c>
      <c r="B208" s="265" t="str">
        <f aca="false">VLOOKUP($A208,Questions!$A$3:$X$333,2,0)&amp;""</f>
        <v>Do your workforce members receive regular training related to the Health Insurance Portability and Accountability Act (HIPAA) Privacy and Security Rules and the HITECH Act?*</v>
      </c>
      <c r="C208" s="265" t="str">
        <f aca="false">VLOOKUP($A208,Questions!$A$3:$X$333,19,0)&amp;""</f>
        <v>HIPAA</v>
      </c>
      <c r="D208" s="265" t="str">
        <f aca="false">VLOOKUP($A208,Questions!$A$3:$X$333,20,0)&amp;""</f>
        <v>Refer to HIPAA documentation or your institution's Chief HIPAA Security Officer.</v>
      </c>
    </row>
    <row r="209" customFormat="false" ht="27" hidden="false" customHeight="true" outlineLevel="0" collapsed="false">
      <c r="A209" s="265" t="s">
        <v>255</v>
      </c>
      <c r="B209" s="265" t="str">
        <f aca="false">VLOOKUP($A209,Questions!$A$3:$X$333,2,0)&amp;""</f>
        <v>Have you identified areas of risk?*</v>
      </c>
      <c r="C209" s="265" t="str">
        <f aca="false">VLOOKUP($A209,Questions!$A$3:$X$333,19,0)&amp;""</f>
        <v>HIPAA</v>
      </c>
      <c r="D209" s="265" t="str">
        <f aca="false">VLOOKUP($A209,Questions!$A$3:$X$333,20,0)&amp;""</f>
        <v>Refer to HIPAA documentation or your institution's Chief HIPAA Security Officer.</v>
      </c>
    </row>
    <row r="210" customFormat="false" ht="26.25" hidden="false" customHeight="true" outlineLevel="0" collapsed="false">
      <c r="A210" s="265" t="s">
        <v>256</v>
      </c>
      <c r="B210" s="265" t="str">
        <f aca="false">VLOOKUP($A210,Questions!$A$3:$X$333,2,0)&amp;""</f>
        <v>Have the relevant policies/plans been tested?*</v>
      </c>
      <c r="C210" s="265" t="str">
        <f aca="false">VLOOKUP($A210,Questions!$A$3:$X$333,19,0)&amp;""</f>
        <v>HIPAA</v>
      </c>
      <c r="D210" s="265" t="str">
        <f aca="false">VLOOKUP($A210,Questions!$A$3:$X$333,20,0)&amp;""</f>
        <v>Refer to HIPAA documentation or your institution's Chief HIPAA Security Officer.</v>
      </c>
      <c r="E210" s="228"/>
    </row>
    <row r="211" customFormat="false" ht="50.25" hidden="false" customHeight="true" outlineLevel="0" collapsed="false">
      <c r="A211" s="265" t="s">
        <v>257</v>
      </c>
      <c r="B211" s="265" t="str">
        <f aca="false">VLOOKUP($A211,Questions!$A$3:$X$333,2,0)&amp;""</f>
        <v>Have you entered into a Business Associate Agreements with all subcontractors who may have access to protected health information (PHI)?*</v>
      </c>
      <c r="C211" s="265" t="str">
        <f aca="false">VLOOKUP($A211,Questions!$A$3:$X$333,19,0)&amp;""</f>
        <v>HIPAA</v>
      </c>
      <c r="D211" s="265" t="str">
        <f aca="false">VLOOKUP($A211,Questions!$A$3:$X$333,20,0)&amp;""</f>
        <v>Refer to HIPAA documentation or your institution's Chief HIPAA Security Officer.</v>
      </c>
    </row>
    <row r="212" customFormat="false" ht="36" hidden="false" customHeight="true" outlineLevel="0" collapsed="false">
      <c r="A212" s="265" t="s">
        <v>258</v>
      </c>
      <c r="B212" s="265" t="str">
        <f aca="false">VLOOKUP($A212,Questions!$A$3:$X$333,2,0)&amp;""</f>
        <v>Do you monitor or receive information regarding changes in HIPAA regulations?</v>
      </c>
      <c r="C212" s="265" t="str">
        <f aca="false">VLOOKUP($A212,Questions!$A$3:$X$333,19,0)&amp;""</f>
        <v>HIPAA</v>
      </c>
      <c r="D212" s="265" t="str">
        <f aca="false">VLOOKUP($A212,Questions!$A$3:$X$333,20,0)&amp;""</f>
        <v>Refer to HIPAA documentation or your institution's Chief HIPAA Security Officer.</v>
      </c>
    </row>
    <row r="213" customFormat="false" ht="36.75" hidden="false" customHeight="true" outlineLevel="0" collapsed="false">
      <c r="A213" s="265" t="s">
        <v>259</v>
      </c>
      <c r="B213" s="265" t="str">
        <f aca="false">VLOOKUP($A213,Questions!$A$3:$X$333,2,0)&amp;""</f>
        <v>Has your organization designated HIPAA Privacy and Security officers as required by the rules?</v>
      </c>
      <c r="C213" s="265" t="str">
        <f aca="false">VLOOKUP($A213,Questions!$A$3:$X$333,19,0)&amp;""</f>
        <v>HIPAA</v>
      </c>
      <c r="D213" s="265" t="str">
        <f aca="false">VLOOKUP($A213,Questions!$A$3:$X$333,20,0)&amp;""</f>
        <v>Refer to HIPAA documentation or your institution's Chief HIPAA Security Officer.</v>
      </c>
    </row>
    <row r="214" customFormat="false" ht="42" hidden="false" customHeight="true" outlineLevel="0" collapsed="false">
      <c r="A214" s="265" t="s">
        <v>260</v>
      </c>
      <c r="B214" s="265" t="str">
        <f aca="false">VLOOKUP($A214,Questions!$A$3:$X$333,2,0)&amp;""</f>
        <v>Do you comply with the requirements of the Health Information Technology for Economic and Clinical Health Act (HITECH)?</v>
      </c>
      <c r="C214" s="265" t="str">
        <f aca="false">VLOOKUP($A214,Questions!$A$3:$X$333,19,0)&amp;""</f>
        <v>HIPAA</v>
      </c>
      <c r="D214" s="265" t="str">
        <f aca="false">VLOOKUP($A214,Questions!$A$3:$X$333,20,0)&amp;""</f>
        <v>Refer to HIPAA documentation or your institution's Chief HIPAA Security Officer.</v>
      </c>
    </row>
    <row r="215" customFormat="false" ht="40.5" hidden="false" customHeight="true" outlineLevel="0" collapsed="false">
      <c r="A215" s="265" t="s">
        <v>261</v>
      </c>
      <c r="B215" s="265" t="str">
        <f aca="false">VLOOKUP($A215,Questions!$A$3:$X$333,2,0)&amp;""</f>
        <v>Have you conducted a risk analysis as required under the HIPAA Security Rule?</v>
      </c>
      <c r="C215" s="265" t="str">
        <f aca="false">VLOOKUP($A215,Questions!$A$3:$X$333,19,0)&amp;""</f>
        <v>HIPAA</v>
      </c>
      <c r="D215" s="265" t="str">
        <f aca="false">VLOOKUP($A215,Questions!$A$3:$X$333,20,0)&amp;""</f>
        <v>Refer to HIPAA documentation or your institution's Chief HIPAA Security Officer.</v>
      </c>
      <c r="E215" s="228"/>
    </row>
    <row r="216" customFormat="false" ht="25.5" hidden="false" customHeight="true" outlineLevel="0" collapsed="false">
      <c r="A216" s="265" t="s">
        <v>262</v>
      </c>
      <c r="B216" s="265" t="str">
        <f aca="false">VLOOKUP($A216,Questions!$A$3:$X$333,2,0)&amp;""</f>
        <v>Have you taken actions to mitigate the identified risks?</v>
      </c>
      <c r="C216" s="265" t="str">
        <f aca="false">VLOOKUP($A216,Questions!$A$3:$X$333,19,0)&amp;""</f>
        <v>HIPAA</v>
      </c>
      <c r="D216" s="265" t="str">
        <f aca="false">VLOOKUP($A216,Questions!$A$3:$X$333,20,0)&amp;""</f>
        <v>Refer to HIPAA documentation or your institution's Chief HIPAA Security Officer.</v>
      </c>
    </row>
    <row r="217" customFormat="false" ht="39.75" hidden="false" customHeight="true" outlineLevel="0" collapsed="false">
      <c r="A217" s="265" t="s">
        <v>263</v>
      </c>
      <c r="B217" s="265" t="str">
        <f aca="false">VLOOKUP($A217,Questions!$A$3:$X$333,2,0)&amp;""</f>
        <v>Does your application require user and system administrator password changes at a frequency no greater than 90 days?</v>
      </c>
      <c r="C217" s="265" t="str">
        <f aca="false">VLOOKUP($A217,Questions!$A$3:$X$333,19,0)&amp;""</f>
        <v>HIPAA</v>
      </c>
      <c r="D217" s="265" t="str">
        <f aca="false">VLOOKUP($A217,Questions!$A$3:$X$333,20,0)&amp;""</f>
        <v>Refer to HIPAA documentation or your institution's Chief HIPAA Security Officer.</v>
      </c>
    </row>
    <row r="218" customFormat="false" ht="42.75" hidden="false" customHeight="true" outlineLevel="0" collapsed="false">
      <c r="A218" s="265" t="s">
        <v>264</v>
      </c>
      <c r="B218" s="265" t="str">
        <f aca="false">VLOOKUP($A218,Questions!$A$3:$X$333,2,0)&amp;""</f>
        <v>Does your application require users to set their own password after an administrator reset or on first use of the account?</v>
      </c>
      <c r="C218" s="265" t="str">
        <f aca="false">VLOOKUP($A218,Questions!$A$3:$X$333,19,0)&amp;""</f>
        <v>HIPAA</v>
      </c>
      <c r="D218" s="265" t="str">
        <f aca="false">VLOOKUP($A218,Questions!$A$3:$X$333,20,0)&amp;""</f>
        <v>Refer to HIPAA documentation or your institution's Chief HIPAA Security Officer.</v>
      </c>
    </row>
    <row r="219" customFormat="false" ht="39.75" hidden="false" customHeight="true" outlineLevel="0" collapsed="false">
      <c r="A219" s="265" t="s">
        <v>265</v>
      </c>
      <c r="B219" s="265" t="str">
        <f aca="false">VLOOKUP($A219,Questions!$A$3:$X$333,2,0)&amp;""</f>
        <v>Does your application lock out an account after a number of failed login attempts?</v>
      </c>
      <c r="C219" s="265" t="str">
        <f aca="false">VLOOKUP($A219,Questions!$A$3:$X$333,19,0)&amp;""</f>
        <v>HIPAA</v>
      </c>
      <c r="D219" s="265" t="str">
        <f aca="false">VLOOKUP($A219,Questions!$A$3:$X$333,20,0)&amp;""</f>
        <v>Refer to HIPAA documentation or your institution's Chief HIPAA Security Officer.</v>
      </c>
    </row>
    <row r="220" customFormat="false" ht="39.75" hidden="false" customHeight="true" outlineLevel="0" collapsed="false">
      <c r="A220" s="265" t="s">
        <v>266</v>
      </c>
      <c r="B220" s="265" t="str">
        <f aca="false">VLOOKUP($A220,Questions!$A$3:$X$333,2,0)&amp;""</f>
        <v>Does your application automatically lock or log-out an account after a period of inactivity?</v>
      </c>
      <c r="C220" s="265" t="str">
        <f aca="false">VLOOKUP($A220,Questions!$A$3:$X$333,19,0)&amp;""</f>
        <v>HIPAA</v>
      </c>
      <c r="D220" s="265" t="str">
        <f aca="false">VLOOKUP($A220,Questions!$A$3:$X$333,20,0)&amp;""</f>
        <v>Refer to HIPAA documentation or your institution's Chief HIPAA Security Officer.</v>
      </c>
    </row>
    <row r="221" customFormat="false" ht="40.5" hidden="false" customHeight="true" outlineLevel="0" collapsed="false">
      <c r="A221" s="265" t="s">
        <v>267</v>
      </c>
      <c r="B221" s="265" t="str">
        <f aca="false">VLOOKUP($A221,Questions!$A$3:$X$333,2,0)&amp;""</f>
        <v>Are passwords visible in plain text, whether when stored or entered, including service level accounts (i.e., database accounts, etc.)?</v>
      </c>
      <c r="C221" s="265" t="str">
        <f aca="false">VLOOKUP($A221,Questions!$A$3:$X$333,19,0)&amp;""</f>
        <v>HIPAA</v>
      </c>
      <c r="D221" s="265" t="str">
        <f aca="false">VLOOKUP($A221,Questions!$A$3:$X$333,20,0)&amp;""</f>
        <v>Refer to HIPAA documentation or your institution's Chief HIPAA Security Officer.</v>
      </c>
      <c r="E221" s="228"/>
    </row>
    <row r="222" customFormat="false" ht="39" hidden="false" customHeight="true" outlineLevel="0" collapsed="false">
      <c r="A222" s="265" t="s">
        <v>268</v>
      </c>
      <c r="B222" s="265" t="str">
        <f aca="false">VLOOKUP($A222,Questions!$A$3:$X$333,2,0)&amp;""</f>
        <v>If the application is institution-hosted, can all service level and administrative account passwords be changed by the institution?</v>
      </c>
      <c r="C222" s="265" t="str">
        <f aca="false">VLOOKUP($A222,Questions!$A$3:$X$333,19,0)&amp;""</f>
        <v>HIPAA</v>
      </c>
      <c r="D222" s="265" t="str">
        <f aca="false">VLOOKUP($A222,Questions!$A$3:$X$333,20,0)&amp;""</f>
        <v>Refer to HIPAA documentation or your institution's Chief HIPAA Security Officer.</v>
      </c>
    </row>
    <row r="223" customFormat="false" ht="23.25" hidden="false" customHeight="true" outlineLevel="0" collapsed="false">
      <c r="A223" s="265" t="s">
        <v>269</v>
      </c>
      <c r="B223" s="265" t="str">
        <f aca="false">VLOOKUP($A223,Questions!$A$3:$X$333,2,0)&amp;""</f>
        <v>Does your application provide the ability to define user access levels?</v>
      </c>
      <c r="C223" s="265" t="str">
        <f aca="false">VLOOKUP($A223,Questions!$A$3:$X$333,19,0)&amp;""</f>
        <v>HIPAA</v>
      </c>
      <c r="D223" s="265" t="str">
        <f aca="false">VLOOKUP($A223,Questions!$A$3:$X$333,20,0)&amp;""</f>
        <v>Refer to HIPAA documentation or your institution's Chief HIPAA Security Officer.</v>
      </c>
    </row>
    <row r="224" customFormat="false" ht="39.75" hidden="false" customHeight="true" outlineLevel="0" collapsed="false">
      <c r="A224" s="265" t="s">
        <v>270</v>
      </c>
      <c r="B224" s="265" t="str">
        <f aca="false">VLOOKUP($A224,Questions!$A$3:$X$333,2,0)&amp;""</f>
        <v>Does your application support varying levels of access to administrative tasks defined individually per user?</v>
      </c>
      <c r="C224" s="265" t="str">
        <f aca="false">VLOOKUP($A224,Questions!$A$3:$X$333,19,0)&amp;""</f>
        <v>HIPAA</v>
      </c>
      <c r="D224" s="265" t="str">
        <f aca="false">VLOOKUP($A224,Questions!$A$3:$X$333,20,0)&amp;""</f>
        <v>Refer to HIPAA documentation or your institution's Chief HIPAA Security Officer.</v>
      </c>
    </row>
    <row r="225" customFormat="false" ht="38.25" hidden="false" customHeight="true" outlineLevel="0" collapsed="false">
      <c r="A225" s="265" t="s">
        <v>271</v>
      </c>
      <c r="B225" s="265" t="str">
        <f aca="false">VLOOKUP($A225,Questions!$A$3:$X$333,2,0)&amp;""</f>
        <v>Does your application support varying levels of access to records based on user ID?</v>
      </c>
      <c r="C225" s="265" t="str">
        <f aca="false">VLOOKUP($A225,Questions!$A$3:$X$333,19,0)&amp;""</f>
        <v>HIPAA</v>
      </c>
      <c r="D225" s="265" t="str">
        <f aca="false">VLOOKUP($A225,Questions!$A$3:$X$333,20,0)&amp;""</f>
        <v>Refer to HIPAA documentation or your institution's Chief HIPAA Security Officer.</v>
      </c>
    </row>
    <row r="226" customFormat="false" ht="36" hidden="false" customHeight="true" outlineLevel="0" collapsed="false">
      <c r="A226" s="265" t="s">
        <v>272</v>
      </c>
      <c r="B226" s="265" t="str">
        <f aca="false">VLOOKUP($A226,Questions!$A$3:$X$333,2,0)&amp;""</f>
        <v>Is there a limit to the number of groups to which a user can be assigned?</v>
      </c>
      <c r="C226" s="265" t="str">
        <f aca="false">VLOOKUP($A226,Questions!$A$3:$X$333,19,0)&amp;""</f>
        <v>HIPAA</v>
      </c>
      <c r="D226" s="265" t="str">
        <f aca="false">VLOOKUP($A226,Questions!$A$3:$X$333,20,0)&amp;""</f>
        <v>Refer to HIPAA documentation or your institution's Chief HIPAA Security Officer.</v>
      </c>
    </row>
    <row r="227" customFormat="false" ht="46.25" hidden="false" customHeight="false" outlineLevel="0" collapsed="false">
      <c r="A227" s="265" t="s">
        <v>273</v>
      </c>
      <c r="B227" s="265" t="str">
        <f aca="false">VLOOKUP($A227,Questions!$A$3:$X$333,2,0)&amp;""</f>
        <v>Do accounts used for solution provider-supplied remote support abide by the same authentication policies and access logging as the rest of the system?</v>
      </c>
      <c r="C227" s="265" t="str">
        <f aca="false">VLOOKUP($A227,Questions!$A$3:$X$333,19,0)&amp;""</f>
        <v>HIPAA</v>
      </c>
      <c r="D227" s="265" t="str">
        <f aca="false">VLOOKUP($A227,Questions!$A$3:$X$333,20,0)&amp;""</f>
        <v>Refer to HIPAA documentation or your institution's Chief HIPAA Security Officer.</v>
      </c>
    </row>
    <row r="228" customFormat="false" ht="34.5" hidden="false" customHeight="true" outlineLevel="0" collapsed="false">
      <c r="A228" s="265" t="s">
        <v>274</v>
      </c>
      <c r="B228" s="265" t="str">
        <f aca="false">VLOOKUP($A228,Questions!$A$3:$X$333,2,0)&amp;""</f>
        <v>Does the application log record access including specific user, date/time of access, and originating IP or device?</v>
      </c>
      <c r="C228" s="265" t="str">
        <f aca="false">VLOOKUP($A228,Questions!$A$3:$X$333,19,0)&amp;""</f>
        <v>HIPAA</v>
      </c>
      <c r="D228" s="265" t="str">
        <f aca="false">VLOOKUP($A228,Questions!$A$3:$X$333,20,0)&amp;""</f>
        <v>Refer to HIPAA documentation or your institution's Chief HIPAA Security Officer.</v>
      </c>
      <c r="E228" s="228"/>
    </row>
    <row r="229" customFormat="false" ht="52.5" hidden="false" customHeight="true" outlineLevel="0" collapsed="false">
      <c r="A229" s="265" t="s">
        <v>275</v>
      </c>
      <c r="B229" s="265" t="str">
        <f aca="false">VLOOKUP($A229,Questions!$A$3:$X$333,2,0)&amp;""</f>
        <v>Does the application log administrative activity, such as user account access changes and password changes, including specific user, date/time of changes, and originating IP or device?</v>
      </c>
      <c r="C229" s="265" t="str">
        <f aca="false">VLOOKUP($A229,Questions!$A$3:$X$333,19,0)&amp;""</f>
        <v>HIPAA</v>
      </c>
      <c r="D229" s="265" t="str">
        <f aca="false">VLOOKUP($A229,Questions!$A$3:$X$333,20,0)&amp;""</f>
        <v>Refer to HIPAA documentation or your institution's Chief HIPAA Security Officer.</v>
      </c>
    </row>
    <row r="230" customFormat="false" ht="21" hidden="false" customHeight="true" outlineLevel="0" collapsed="false">
      <c r="A230" s="265" t="s">
        <v>276</v>
      </c>
      <c r="B230" s="265" t="str">
        <f aca="false">VLOOKUP($A230,Questions!$A$3:$X$333,2,0)&amp;""</f>
        <v>Do you retain logs for at least as long as required by HIPAA regulations?</v>
      </c>
      <c r="C230" s="265" t="str">
        <f aca="false">VLOOKUP($A230,Questions!$A$3:$X$333,19,0)&amp;""</f>
        <v>HIPAA</v>
      </c>
      <c r="D230" s="265" t="str">
        <f aca="false">VLOOKUP($A230,Questions!$A$3:$X$333,20,0)&amp;""</f>
        <v>Refer to HIPAA documentation or your institution's Chief HIPAA Security Officer.</v>
      </c>
    </row>
    <row r="231" customFormat="false" ht="23.25" hidden="false" customHeight="true" outlineLevel="0" collapsed="false">
      <c r="A231" s="265" t="s">
        <v>277</v>
      </c>
      <c r="B231" s="265" t="str">
        <f aca="false">VLOOKUP($A231,Questions!$A$3:$X$333,2,0)&amp;""</f>
        <v>Can the application logs be archived?</v>
      </c>
      <c r="C231" s="265" t="str">
        <f aca="false">VLOOKUP($A231,Questions!$A$3:$X$333,19,0)&amp;""</f>
        <v>HIPAA</v>
      </c>
      <c r="D231" s="265" t="str">
        <f aca="false">VLOOKUP($A231,Questions!$A$3:$X$333,20,0)&amp;""</f>
        <v>Refer to HIPAA documentation or your institution's Chief HIPAA Security Officer.</v>
      </c>
    </row>
    <row r="232" customFormat="false" ht="24.75" hidden="false" customHeight="true" outlineLevel="0" collapsed="false">
      <c r="A232" s="265" t="s">
        <v>278</v>
      </c>
      <c r="B232" s="265" t="str">
        <f aca="false">VLOOKUP($A232,Questions!$A$3:$X$333,2,0)&amp;""</f>
        <v>Can the application logs be saved externally?</v>
      </c>
      <c r="C232" s="265" t="str">
        <f aca="false">VLOOKUP($A232,Questions!$A$3:$X$333,19,0)&amp;""</f>
        <v>HIPAA</v>
      </c>
      <c r="D232" s="265" t="str">
        <f aca="false">VLOOKUP($A232,Questions!$A$3:$X$333,20,0)&amp;""</f>
        <v>Refer to HIPAA documentation or your institution's Chief HIPAA Security Officer.</v>
      </c>
    </row>
    <row r="233" customFormat="false" ht="39" hidden="false" customHeight="true" outlineLevel="0" collapsed="false">
      <c r="A233" s="265" t="s">
        <v>279</v>
      </c>
      <c r="B233" s="265" t="str">
        <f aca="false">VLOOKUP($A233,Questions!$A$3:$X$333,2,0)&amp;""</f>
        <v>Do you have a disaster recovery plan and emergency mode operation plan?</v>
      </c>
      <c r="C233" s="265" t="str">
        <f aca="false">VLOOKUP($A233,Questions!$A$3:$X$333,19,0)&amp;""</f>
        <v>HIPAA</v>
      </c>
      <c r="D233" s="265" t="str">
        <f aca="false">VLOOKUP($A233,Questions!$A$3:$X$333,20,0)&amp;""</f>
        <v>Refer to HIPAA documentation or your institution's Chief HIPAA Security Officer.</v>
      </c>
    </row>
    <row r="234" customFormat="false" ht="23.25" hidden="false" customHeight="true" outlineLevel="0" collapsed="false">
      <c r="A234" s="265" t="s">
        <v>280</v>
      </c>
      <c r="B234" s="265" t="str">
        <f aca="false">VLOOKUP($A234,Questions!$A$3:$X$333,2,0)&amp;""</f>
        <v>Can you provide a HIPAA compliance attestation document?</v>
      </c>
      <c r="C234" s="265" t="str">
        <f aca="false">VLOOKUP($A234,Questions!$A$3:$X$333,19,0)&amp;""</f>
        <v>HIPAA</v>
      </c>
      <c r="D234" s="265" t="str">
        <f aca="false">VLOOKUP($A234,Questions!$A$3:$X$333,20,0)&amp;""</f>
        <v>Refer to HIPAA documentation or your institution's Chief HIPAA Security Officer.</v>
      </c>
    </row>
    <row r="235" customFormat="false" ht="22.5" hidden="false" customHeight="true" outlineLevel="0" collapsed="false">
      <c r="A235" s="265" t="s">
        <v>281</v>
      </c>
      <c r="B235" s="265" t="str">
        <f aca="false">VLOOKUP($A235,Questions!$A$3:$X$333,2,0)&amp;""</f>
        <v>Are you willing to enter into a Business Associate Agreement (BAA)?</v>
      </c>
      <c r="C235" s="265" t="str">
        <f aca="false">VLOOKUP($A235,Questions!$A$3:$X$333,19,0)&amp;""</f>
        <v>HIPAA</v>
      </c>
      <c r="D235" s="265" t="str">
        <f aca="false">VLOOKUP($A235,Questions!$A$3:$X$333,20,0)&amp;""</f>
        <v>Refer to HIPAA documentation or your institution's Chief HIPAA Security Officer.</v>
      </c>
    </row>
    <row r="236" customFormat="false" ht="33" hidden="false" customHeight="true" outlineLevel="0" collapsed="false">
      <c r="A236" s="265" t="s">
        <v>282</v>
      </c>
      <c r="B236" s="265" t="str">
        <f aca="false">VLOOKUP($A236,Questions!$A$3:$X$333,2,0)&amp;""</f>
        <v>Do your data backup and retention policies and practices meet HIPAA requirements?</v>
      </c>
      <c r="C236" s="265" t="str">
        <f aca="false">VLOOKUP($A236,Questions!$A$3:$X$333,19,0)&amp;""</f>
        <v>HIPAA</v>
      </c>
      <c r="D236" s="265" t="str">
        <f aca="false">VLOOKUP($A236,Questions!$A$3:$X$333,20,0)&amp;""</f>
        <v>Refer to HIPAA documentation or your institution's Chief HIPAA Security Officer.</v>
      </c>
      <c r="E236" s="51" t="s">
        <v>487</v>
      </c>
    </row>
    <row r="237" customFormat="false" ht="20.85" hidden="false" customHeight="false" outlineLevel="0" collapsed="false">
      <c r="A237" s="31" t="str">
        <f aca="false">VLOOKUP(LEFT($A238,4),'Auto Responses'!$N$4:$O$38,2,0)&amp;""</f>
        <v> Payment Card Industry Data Security Standard (PCI DSS)</v>
      </c>
      <c r="B237" s="31"/>
      <c r="C237" s="264" t="str">
        <f aca="false">Questions!$S$2</f>
        <v>Reason for Question</v>
      </c>
      <c r="D237" s="264" t="str">
        <f aca="false">Questions!$T$2</f>
        <v>Follow-Up Inquiries/Responses</v>
      </c>
    </row>
    <row r="238" customFormat="false" ht="36" hidden="false" customHeight="true" outlineLevel="0" collapsed="false">
      <c r="A238" s="265" t="s">
        <v>283</v>
      </c>
      <c r="B238" s="265" t="str">
        <f aca="false">VLOOKUP($A238,Questions!$A$3:$X$333,2,0)&amp;""</f>
        <v>Do you have a current, executed within the past year, Attestation of Compliance (AoC) or Report on Compliance (RoC)?*</v>
      </c>
      <c r="C238" s="265" t="str">
        <f aca="false">VLOOKUP($A238,Questions!$A$3:$X$333,19,0)&amp;""</f>
        <v>PCI DSS</v>
      </c>
      <c r="D238" s="265" t="str">
        <f aca="false">VLOOKUP($A238,Questions!$A$3:$X$333,20,0)&amp;""</f>
        <v>Refer to PCI DSS documentation or your institution's treasurer's office.</v>
      </c>
    </row>
    <row r="239" customFormat="false" ht="36.75" hidden="false" customHeight="true" outlineLevel="0" collapsed="false">
      <c r="A239" s="265" t="s">
        <v>284</v>
      </c>
      <c r="B239" s="265" t="str">
        <f aca="false">VLOOKUP($A239,Questions!$A$3:$X$333,2,0)&amp;""</f>
        <v>Is the application listed as an approved Payment Application Data Security Standard (PA-DSS) application?*</v>
      </c>
      <c r="C239" s="265" t="str">
        <f aca="false">VLOOKUP($A239,Questions!$A$3:$X$333,19,0)&amp;""</f>
        <v>PCI DSS</v>
      </c>
      <c r="D239" s="265" t="str">
        <f aca="false">VLOOKUP($A239,Questions!$A$3:$X$333,20,0)&amp;""</f>
        <v>Refer to PCI DSS documentation or your institution's treasurer's office.</v>
      </c>
    </row>
    <row r="240" customFormat="false" ht="40.5" hidden="false" customHeight="true" outlineLevel="0" collapsed="false">
      <c r="A240" s="265" t="s">
        <v>285</v>
      </c>
      <c r="B240" s="265" t="str">
        <f aca="false">VLOOKUP($A240,Questions!$A$3:$X$333,2,0)&amp;""</f>
        <v>Does the system or solutions use a third party to collect, store, process, or transmit cardholder (payment/credit/debt card) data?*</v>
      </c>
      <c r="C240" s="265" t="str">
        <f aca="false">VLOOKUP($A240,Questions!$A$3:$X$333,19,0)&amp;""</f>
        <v>PCI DSS</v>
      </c>
      <c r="D240" s="265" t="str">
        <f aca="false">VLOOKUP($A240,Questions!$A$3:$X$333,20,0)&amp;""</f>
        <v>Refer to PCI DSS documentation or your institution's treasurer's office.</v>
      </c>
    </row>
    <row r="241" customFormat="false" ht="39" hidden="false" customHeight="true" outlineLevel="0" collapsed="false">
      <c r="A241" s="265" t="s">
        <v>286</v>
      </c>
      <c r="B241" s="265" t="str">
        <f aca="false">VLOOKUP($A241,Questions!$A$3:$X$333,2,0)&amp;""</f>
        <v>Do your systems or solutions store, process, or transmit cardholder (payment/credit/debt card) data?</v>
      </c>
      <c r="C241" s="265" t="str">
        <f aca="false">VLOOKUP($A241,Questions!$A$3:$X$333,19,0)&amp;""</f>
        <v>PCI DSS</v>
      </c>
      <c r="D241" s="265" t="str">
        <f aca="false">VLOOKUP($A241,Questions!$A$3:$X$333,20,0)&amp;""</f>
        <v>Refer to PCI DSS documentation or your institution's treasurer's office.</v>
      </c>
    </row>
    <row r="242" customFormat="false" ht="38.25" hidden="false" customHeight="true" outlineLevel="0" collapsed="false">
      <c r="A242" s="265" t="s">
        <v>287</v>
      </c>
      <c r="B242" s="265" t="str">
        <f aca="false">VLOOKUP($A242,Questions!$A$3:$X$333,2,0)&amp;""</f>
        <v>Are you compliant with the Payment Card Industry Data Security Standard (PCI DSS)?</v>
      </c>
      <c r="C242" s="265" t="str">
        <f aca="false">VLOOKUP($A242,Questions!$A$3:$X$333,19,0)&amp;""</f>
        <v>PCI DSS</v>
      </c>
      <c r="D242" s="265" t="str">
        <f aca="false">VLOOKUP($A242,Questions!$A$3:$X$333,20,0)&amp;""</f>
        <v>Refer to PCI DSS documentation or your institution's treasurer's office.</v>
      </c>
    </row>
    <row r="243" customFormat="false" ht="28.5" hidden="false" customHeight="true" outlineLevel="0" collapsed="false">
      <c r="A243" s="265" t="s">
        <v>288</v>
      </c>
      <c r="B243" s="265" t="str">
        <f aca="false">VLOOKUP($A243,Questions!$A$3:$X$333,2,0)&amp;""</f>
        <v>Are you classified as a service provider?</v>
      </c>
      <c r="C243" s="265" t="str">
        <f aca="false">VLOOKUP($A243,Questions!$A$3:$X$333,19,0)&amp;""</f>
        <v>PCI DSS</v>
      </c>
      <c r="D243" s="265" t="str">
        <f aca="false">VLOOKUP($A243,Questions!$A$3:$X$333,20,0)&amp;""</f>
        <v>Refer to PCI DSS documentation or your institution's treasurer's office.</v>
      </c>
    </row>
    <row r="244" customFormat="false" ht="29.25" hidden="false" customHeight="true" outlineLevel="0" collapsed="false">
      <c r="A244" s="265" t="s">
        <v>289</v>
      </c>
      <c r="B244" s="265" t="str">
        <f aca="false">VLOOKUP($A244,Questions!$A$3:$X$333,2,0)&amp;""</f>
        <v>Are you on the list of Visa approved service providers?</v>
      </c>
      <c r="C244" s="265" t="str">
        <f aca="false">VLOOKUP($A244,Questions!$A$3:$X$333,19,0)&amp;""</f>
        <v>PCI DSS</v>
      </c>
      <c r="D244" s="265" t="str">
        <f aca="false">VLOOKUP($A244,Questions!$A$3:$X$333,20,0)&amp;""</f>
        <v>Refer to PCI DSS documentation or your institution's treasurer's office.</v>
      </c>
    </row>
    <row r="245" customFormat="false" ht="26.25" hidden="false" customHeight="true" outlineLevel="0" collapsed="false">
      <c r="A245" s="265" t="s">
        <v>290</v>
      </c>
      <c r="B245" s="265" t="str">
        <f aca="false">VLOOKUP($A245,Questions!$A$3:$X$333,2,0)&amp;""</f>
        <v>Are you classified as a merchant? If so, what level (1, 2, 3, 4)?</v>
      </c>
      <c r="C245" s="265" t="str">
        <f aca="false">VLOOKUP($A245,Questions!$A$3:$X$333,19,0)&amp;""</f>
        <v>PCI DSS</v>
      </c>
      <c r="D245" s="265" t="str">
        <f aca="false">VLOOKUP($A245,Questions!$A$3:$X$333,20,0)&amp;""</f>
        <v>Refer to PCI DSS documentation or your institution's treasurer's office.</v>
      </c>
    </row>
    <row r="246" customFormat="false" ht="36.75" hidden="false" customHeight="true" outlineLevel="0" collapsed="false">
      <c r="A246" s="265" t="s">
        <v>291</v>
      </c>
      <c r="B246" s="265" t="str">
        <f aca="false">VLOOKUP($A246,Questions!$A$3:$X$333,2,0)&amp;""</f>
        <v>Describe the architecture employed by the system to verify and authorize credit card transactions.</v>
      </c>
      <c r="C246" s="265" t="str">
        <f aca="false">VLOOKUP($A246,Questions!$A$3:$X$333,19,0)&amp;""</f>
        <v>PCI DSS</v>
      </c>
      <c r="D246" s="265" t="str">
        <f aca="false">VLOOKUP($A246,Questions!$A$3:$X$333,20,0)&amp;""</f>
        <v>Refer to PCI DSS documentation or your institution's treasurer's office.</v>
      </c>
    </row>
    <row r="247" customFormat="false" ht="22.5" hidden="false" customHeight="true" outlineLevel="0" collapsed="false">
      <c r="A247" s="265" t="s">
        <v>292</v>
      </c>
      <c r="B247" s="265" t="str">
        <f aca="false">VLOOKUP($A247,Questions!$A$3:$X$333,2,0)&amp;""</f>
        <v>What payment processors/gateways does the system support?</v>
      </c>
      <c r="C247" s="265" t="str">
        <f aca="false">VLOOKUP($A247,Questions!$A$3:$X$333,19,0)&amp;""</f>
        <v>PCI DSS</v>
      </c>
      <c r="D247" s="265" t="str">
        <f aca="false">VLOOKUP($A247,Questions!$A$3:$X$333,20,0)&amp;""</f>
        <v>Refer to PCI DSS documentation or your institution's treasurer's office.</v>
      </c>
    </row>
    <row r="248" customFormat="false" ht="24.75" hidden="false" customHeight="true" outlineLevel="0" collapsed="false">
      <c r="A248" s="265" t="s">
        <v>293</v>
      </c>
      <c r="B248" s="265" t="str">
        <f aca="false">VLOOKUP($A248,Questions!$A$3:$X$333,2,0)&amp;""</f>
        <v>Can the application be installed in a PCI DSS–compliant manner?</v>
      </c>
      <c r="C248" s="265" t="str">
        <f aca="false">VLOOKUP($A248,Questions!$A$3:$X$333,19,0)&amp;""</f>
        <v>PCI DSS</v>
      </c>
      <c r="D248" s="265" t="str">
        <f aca="false">VLOOKUP($A248,Questions!$A$3:$X$333,20,0)&amp;""</f>
        <v>Refer to PCI DSS documentation or your institution's treasurer's office.</v>
      </c>
    </row>
    <row r="249" customFormat="false" ht="51" hidden="false" customHeight="true" outlineLevel="0" collapsed="false">
      <c r="A249" s="265" t="s">
        <v>294</v>
      </c>
      <c r="B249" s="265" t="str">
        <f aca="false">VLOOKUP($A249,Questions!$A$3:$X$333,2,0)&amp;""</f>
        <v>Include documentation describing the system's abilities to comply with the PCI DSS and any features or capabilities of the system that must be added or changed in order to operate in compliance with the standards.</v>
      </c>
      <c r="C249" s="265" t="str">
        <f aca="false">VLOOKUP($A249,Questions!$A$3:$X$333,19,0)&amp;""</f>
        <v>PCI DSS</v>
      </c>
      <c r="D249" s="265" t="str">
        <f aca="false">VLOOKUP($A249,Questions!$A$3:$X$333,20,0)&amp;""</f>
        <v>Refer to PCI DSS documentation or your institution's treasurer's office.</v>
      </c>
      <c r="E249" s="51" t="s">
        <v>487</v>
      </c>
    </row>
    <row r="250" customFormat="false" ht="20.85" hidden="false" customHeight="false" outlineLevel="0" collapsed="false">
      <c r="A250" s="31" t="str">
        <f aca="false">VLOOKUP(LEFT($A251,4),'Auto Responses'!$N$4:$O$38,2,0)&amp;""</f>
        <v> On-Premises Data Solutions</v>
      </c>
      <c r="B250" s="31"/>
      <c r="C250" s="264" t="str">
        <f aca="false">Questions!$S$2</f>
        <v>Reason for Question</v>
      </c>
      <c r="D250" s="264" t="str">
        <f aca="false">Questions!$T$2</f>
        <v>Follow-Up Inquiries/Responses</v>
      </c>
    </row>
    <row r="251" customFormat="false" ht="68.25" hidden="false" customHeight="true" outlineLevel="0" collapsed="false">
      <c r="A251" s="265" t="s">
        <v>295</v>
      </c>
      <c r="B251" s="265" t="str">
        <f aca="false">VLOOKUP($A251,Questions!$A$3:$X$333,2,0)&amp;""</f>
        <v>Do you support role-based access control (RBAC) for system administrators?</v>
      </c>
      <c r="C251" s="265" t="str">
        <f aca="false">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265" t="str">
        <f aca="false">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customFormat="false" ht="71.25" hidden="false" customHeight="true" outlineLevel="0" collapsed="false">
      <c r="A252" s="265" t="s">
        <v>296</v>
      </c>
      <c r="B252" s="265" t="str">
        <f aca="false">VLOOKUP($A252,Questions!$A$3:$X$333,2,0)&amp;""</f>
        <v>Can your employees access customer systems remotely?</v>
      </c>
      <c r="C252" s="265" t="str">
        <f aca="false">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265" t="str">
        <f aca="false">VLOOKUP($A252,Questions!$A$3:$X$333,20,0)&amp;""</f>
        <v>Ask the solution provider to summarize the reasoning behind this business process and request additional documentation that outlines the security controls implemented to safeguard institutional data.</v>
      </c>
    </row>
    <row r="253" customFormat="false" ht="68.25" hidden="false" customHeight="true" outlineLevel="0" collapsed="false">
      <c r="A253" s="265" t="s">
        <v>297</v>
      </c>
      <c r="B253" s="265" t="str">
        <f aca="false">VLOOKUP($A253,Questions!$A$3:$X$333,2,0)&amp;""</f>
        <v>Can you provide overall system and/or application architecture diagrams including a full description of the data communications architecture for all components of the system?</v>
      </c>
      <c r="C253" s="265" t="str">
        <f aca="false">VLOOKUP($A253,Questions!$A$3:$X$333,19,0)&amp;""</f>
        <v>Many systems can be used a variety of ways. We want these implementation type diagrams so that we can understand the "real" use of the solution.</v>
      </c>
      <c r="D253" s="265" t="str">
        <f aca="false">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customFormat="false" ht="76.5" hidden="false" customHeight="true" outlineLevel="0" collapsed="false">
      <c r="A254" s="265" t="s">
        <v>298</v>
      </c>
      <c r="B254" s="265" t="str">
        <f aca="false">VLOOKUP($A254,Questions!$A$3:$X$333,2,0)&amp;""</f>
        <v>Do you require remote management of the system?</v>
      </c>
      <c r="C254" s="265" t="str">
        <f aca="false">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265" t="str">
        <f aca="false">VLOOKUP($A254,Questions!$A$3:$X$333,20,0)&amp;""</f>
        <v>Ask the solution provider to summarize the reasoning behind this business process and request additional documentation that outlines the security controls implemented to safeguard institutional data.</v>
      </c>
    </row>
    <row r="255" customFormat="false" ht="81" hidden="false" customHeight="true" outlineLevel="0" collapsed="false">
      <c r="A255" s="265" t="s">
        <v>299</v>
      </c>
      <c r="B255" s="265" t="str">
        <f aca="false">VLOOKUP($A255,Questions!$A$3:$X$333,2,0)&amp;""</f>
        <v>If you answered "yes" to OPEM-04, are your remote actions and changes logged or otherwise visible to the campus?</v>
      </c>
      <c r="C255" s="265" t="str">
        <f aca="false">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265" t="str">
        <f aca="false">VLOOKUP($A255,Questions!$A$3:$X$333,20,0)&amp;""</f>
        <v>If a weak response is given to this answer, it is appropriate to ask directed answers to get specific information. Ensure that questions are targeted to ensure responses will come from the appropriate party within the solution provider.</v>
      </c>
    </row>
    <row r="256" customFormat="false" ht="38.25" hidden="false" customHeight="true" outlineLevel="0" collapsed="false">
      <c r="A256" s="265" t="s">
        <v>300</v>
      </c>
      <c r="B256" s="265" t="str">
        <f aca="false">VLOOKUP($A256,Questions!$A$3:$X$333,2,0)&amp;""</f>
        <v>If you maintain remote access to the system, will you handle data in a FERPA-compliant manner?</v>
      </c>
      <c r="C256" s="265" t="str">
        <f aca="false">VLOOKUP($A256,Questions!$A$3:$X$333,19,0)&amp;""</f>
        <v>This is standard documentation, relevant to institution implementations requiring FERPA compliance.</v>
      </c>
      <c r="D256" s="265" t="str">
        <f aca="false">VLOOKUP($A256,Questions!$A$3:$X$333,20,0)&amp;""</f>
        <v>Follow-up inquiries for FERPA compliance details will be institution/implementation specific.</v>
      </c>
    </row>
    <row r="257" customFormat="false" ht="61.5" hidden="false" customHeight="true" outlineLevel="0" collapsed="false">
      <c r="A257" s="265" t="s">
        <v>301</v>
      </c>
      <c r="B257" s="265" t="str">
        <f aca="false">VLOOKUP($A257,Questions!$A$3:$X$333,2,0)&amp;""</f>
        <v>Do you support campus status monitoring through SNMPv3 or other means?</v>
      </c>
      <c r="C257" s="265" t="str">
        <f aca="false">VLOOKUP($A257,Questions!$A$3:$X$333,19,0)&amp;""</f>
        <v>Standard documentation question. With an on-premise device, the possibility to tie-in with existing monitoring/management systems is beneficial. The solution provider's response should be clear and concise.</v>
      </c>
      <c r="D257" s="265" t="str">
        <f aca="false">VLOOKUP($A257,Questions!$A$3:$X$333,20,0)&amp;""</f>
        <v>Follow-up inquiries for monitoring via SNMPv3 will be institution/implementation specific.</v>
      </c>
    </row>
    <row r="258" customFormat="false" ht="54" hidden="false" customHeight="true" outlineLevel="0" collapsed="false">
      <c r="A258" s="265" t="s">
        <v>302</v>
      </c>
      <c r="B258" s="265" t="str">
        <f aca="false">VLOOKUP($A258,Questions!$A$3:$X$333,2,0)&amp;""</f>
        <v>Describe or provide a reference to any other safeguards used to monitor for malicious activity.</v>
      </c>
      <c r="C258" s="265" t="str">
        <f aca="false">VLOOKUP($A258,Questions!$A$3:$X$333,19,0)&amp;""</f>
        <v>This question is primarily focused on system(s) integrity and confidentiality. The solution provider's response should clearly state the system(s) capabilities to properly monitor for (and alert for) malicious activity.</v>
      </c>
      <c r="D258" s="265" t="str">
        <f aca="false">VLOOKUP($A258,Questions!$A$3:$X$333,20,0)&amp;""</f>
        <v>Follow-up inquiries for system monitoring will be institution/implementation specific.</v>
      </c>
      <c r="E258" s="228"/>
    </row>
    <row r="259" customFormat="false" ht="46.25" hidden="false" customHeight="false" outlineLevel="0" collapsed="false">
      <c r="A259" s="265" t="s">
        <v>303</v>
      </c>
      <c r="B259" s="265" t="str">
        <f aca="false">VLOOKUP($A259,Questions!$A$3:$X$333,2,0)&amp;""</f>
        <v>Describe how long your organization has conducted business in this area.</v>
      </c>
      <c r="C259" s="265" t="str">
        <f aca="false">VLOOKUP($A259,Questions!$A$3:$X$333,19,0)&amp;""</f>
        <v>We want to establish longevity of a solution and whether or not a solution provider is new to the higher education space.</v>
      </c>
      <c r="D259" s="265" t="str">
        <f aca="false">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c r="E259" s="228"/>
    </row>
    <row r="260" customFormat="false" ht="60.75" hidden="false" customHeight="true" outlineLevel="0" collapsed="false">
      <c r="A260" s="265" t="s">
        <v>304</v>
      </c>
      <c r="B260" s="265" t="str">
        <f aca="false">VLOOKUP($A260,Questions!$A$3:$X$333,2,0)&amp;""</f>
        <v>Do you have existing higher education customers?</v>
      </c>
      <c r="C260" s="265" t="str">
        <f aca="false">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265" t="str">
        <f aca="false">VLOOKUP($A260,Questions!$A$3:$X$333,20,0)&amp;""</f>
        <v>A simple "yes" without any references or supporting information should be questioned. Question the size of institutions that are using the solution and the scope of their implementations.</v>
      </c>
      <c r="E260" s="51" t="s">
        <v>487</v>
      </c>
    </row>
    <row r="261" customFormat="false" ht="20.85" hidden="false" customHeight="false" outlineLevel="0" collapsed="false">
      <c r="A261" s="31" t="str">
        <f aca="false">VLOOKUP(LEFT($A262,4),'Auto Responses'!$N$4:$O$38,2,0)&amp;""</f>
        <v> General Privacy</v>
      </c>
      <c r="B261" s="31"/>
      <c r="C261" s="264" t="str">
        <f aca="false">Questions!$S$2</f>
        <v>Reason for Question</v>
      </c>
      <c r="D261" s="264" t="str">
        <f aca="false">Questions!$T$2</f>
        <v>Follow-Up Inquiries/Responses</v>
      </c>
    </row>
    <row r="262" customFormat="false" ht="21" hidden="false" customHeight="true" outlineLevel="0" collapsed="false">
      <c r="A262" s="265" t="s">
        <v>340</v>
      </c>
      <c r="B262" s="265" t="str">
        <f aca="false">VLOOKUP($A262,Questions!$A$3:$X$333,2,0)&amp;""</f>
        <v>Does your solution process FERPA-related data?</v>
      </c>
      <c r="C262" s="265" t="str">
        <f aca="false">VLOOKUP($A262,Questions!$A$3:$X$333,19,0)&amp;""</f>
        <v>This question will help the institution gain an understanding of the types of data processed by this product or service.</v>
      </c>
      <c r="D262" s="265" t="str">
        <f aca="false">VLOOKUP($A262,Questions!$A$3:$X$333,20,0)&amp;""</f>
        <v>Will data be re-disclosed and/or used for any purpose other than directly providing the service, including quality assurance or marketing?</v>
      </c>
    </row>
    <row r="263" customFormat="false" ht="25.5" hidden="false" customHeight="true" outlineLevel="0" collapsed="false">
      <c r="A263" s="265" t="s">
        <v>341</v>
      </c>
      <c r="B263" s="265" t="str">
        <f aca="false">VLOOKUP($A263,Questions!$A$3:$X$333,2,0)&amp;""</f>
        <v>Does your solution process GDPR-related or PIPL-related data?</v>
      </c>
      <c r="C263" s="265" t="str">
        <f aca="false">VLOOKUP($A263,Questions!$A$3:$X$333,19,0)&amp;""</f>
        <v>This question will help the institution gain an understanding of the types of data processed by this product or service.</v>
      </c>
      <c r="D263" s="265" t="str">
        <f aca="false">VLOOKUP($A263,Questions!$A$3:$X$333,20,0)&amp;""</f>
        <v/>
      </c>
    </row>
    <row r="264" customFormat="false" ht="34.5" hidden="false" customHeight="true" outlineLevel="0" collapsed="false">
      <c r="A264" s="265" t="s">
        <v>343</v>
      </c>
      <c r="B264" s="265" t="str">
        <f aca="false">VLOOKUP($A264,Questions!$A$3:$X$333,2,0)&amp;""</f>
        <v>Does your solution process personal data regulated by state law(s) (e.g., CCPA)?</v>
      </c>
      <c r="C264" s="265" t="str">
        <f aca="false">VLOOKUP($A264,Questions!$A$3:$X$333,19,0)&amp;""</f>
        <v>This question will help the institution gain an understanding of the types of data processed by this product or service.</v>
      </c>
      <c r="D264" s="265" t="str">
        <f aca="false">VLOOKUP($A264,Questions!$A$3:$X$333,20,0)&amp;""</f>
        <v/>
      </c>
    </row>
    <row r="265" customFormat="false" ht="33" hidden="false" customHeight="true" outlineLevel="0" collapsed="false">
      <c r="A265" s="265" t="s">
        <v>344</v>
      </c>
      <c r="B265" s="265" t="str">
        <f aca="false">VLOOKUP($A265,Questions!$A$3:$X$333,2,0)&amp;""</f>
        <v>Does your solution process user-provided data that may contain regulated information?</v>
      </c>
      <c r="C265" s="265" t="str">
        <f aca="false">VLOOKUP($A265,Questions!$A$3:$X$333,19,0)&amp;""</f>
        <v>This question will help the institution gain an understanding of the types of data processed by this product or service.</v>
      </c>
      <c r="D265" s="265" t="str">
        <f aca="false">VLOOKUP($A265,Questions!$A$3:$X$333,20,0)&amp;""</f>
        <v/>
      </c>
    </row>
    <row r="266" customFormat="false" ht="24.75" hidden="false" customHeight="true" outlineLevel="0" collapsed="false">
      <c r="A266" s="265" t="s">
        <v>346</v>
      </c>
      <c r="B266" s="265" t="str">
        <f aca="false">VLOOKUP($A266,Questions!$A$3:$X$333,2,0)&amp;""</f>
        <v>Web Link to Product/Service Privacy Notice</v>
      </c>
      <c r="C266" s="265" t="str">
        <f aca="false">VLOOKUP($A266,Questions!$A$3:$X$333,19,0)&amp;""</f>
        <v/>
      </c>
      <c r="D266" s="265" t="str">
        <f aca="false">VLOOKUP($A266,Questions!$A$3:$X$333,20,0)&amp;""</f>
        <v/>
      </c>
      <c r="E266" s="51" t="s">
        <v>487</v>
      </c>
    </row>
    <row r="267" customFormat="false" ht="20.85" hidden="false" customHeight="false" outlineLevel="0" collapsed="false">
      <c r="A267" s="31" t="str">
        <f aca="false">VLOOKUP(LEFT($A268,4),'Auto Responses'!$N$4:$O$38,2,0)&amp;""</f>
        <v> Privacy-Specific Company Details</v>
      </c>
      <c r="B267" s="31"/>
      <c r="C267" s="264" t="str">
        <f aca="false">Questions!$S$2</f>
        <v>Reason for Question</v>
      </c>
      <c r="D267" s="264" t="str">
        <f aca="false">Questions!$T$2</f>
        <v>Follow-Up Inquiries/Responses</v>
      </c>
    </row>
    <row r="268" customFormat="false" ht="60" hidden="false" customHeight="true" outlineLevel="0" collapsed="false">
      <c r="A268" s="265" t="s">
        <v>347</v>
      </c>
      <c r="B268" s="265" t="str">
        <f aca="false">VLOOKUP($A268,Questions!$A$3:$X$333,2,0)&amp;""</f>
        <v>Have you had a personal data breach in the past three years that involved reporting to a governmental agency, notice to individuals (including voluntary notice), or notice to another organization or institution?*</v>
      </c>
      <c r="C268" s="265" t="str">
        <f aca="false">VLOOKUP($A268,Questions!$A$3:$X$333,19,0)&amp;""</f>
        <v>Having a previous data breach can indicate a level of risk that will indicate that the instituion should further investigate changes made after the breach.</v>
      </c>
      <c r="D268" s="265" t="str">
        <f aca="false">VLOOKUP($A268,Questions!$A$3:$X$333,20,0)&amp;""</f>
        <v/>
      </c>
    </row>
    <row r="269" customFormat="false" ht="36.75" hidden="false" customHeight="true" outlineLevel="0" collapsed="false">
      <c r="A269" s="265" t="s">
        <v>348</v>
      </c>
      <c r="B269" s="265" t="str">
        <f aca="false">VLOOKUP($A269,Questions!$A$3:$X$333,2,0)&amp;""</f>
        <v>Use this area to share information about your privacy practices that will assist those who are assessing your company data privacy program.*</v>
      </c>
      <c r="C269" s="265" t="str">
        <f aca="false">VLOOKUP($A269,Questions!$A$3:$X$333,19,0)&amp;""</f>
        <v/>
      </c>
      <c r="D269" s="265" t="str">
        <f aca="false">VLOOKUP($A269,Questions!$A$3:$X$333,20,0)&amp;""</f>
        <v/>
      </c>
    </row>
    <row r="270" customFormat="false" ht="35.25" hidden="false" customHeight="true" outlineLevel="0" collapsed="false">
      <c r="A270" s="265" t="s">
        <v>350</v>
      </c>
      <c r="B270" s="265" t="str">
        <f aca="false">VLOOKUP($A270,Questions!$A$3:$X$333,2,0)&amp;""</f>
        <v>Have you had any violations of your internal privacy policies or violations of applicable privacy law in the past 36 months?</v>
      </c>
      <c r="C270" s="265" t="str">
        <f aca="false">VLOOKUP($A270,Questions!$A$3:$X$333,19,0)&amp;""</f>
        <v>This question solicits information about internal privacy policy violations and/or violations of applicable privacy law in the past three years.</v>
      </c>
      <c r="D270" s="265" t="str">
        <f aca="false">VLOOKUP($A270,Questions!$A$3:$X$333,20,0)&amp;""</f>
        <v/>
      </c>
    </row>
    <row r="271" customFormat="false" ht="21.75" hidden="false" customHeight="true" outlineLevel="0" collapsed="false">
      <c r="A271" s="265" t="s">
        <v>351</v>
      </c>
      <c r="B271" s="265" t="str">
        <f aca="false">VLOOKUP($A271,Questions!$A$3:$X$333,2,0)&amp;""</f>
        <v>Do you have a dedicated data privacy staff or office?</v>
      </c>
      <c r="C271" s="265" t="str">
        <f aca="false">VLOOKUP($A271,Questions!$A$3:$X$333,19,0)&amp;""</f>
        <v>Any solution provider processing protected student data should have resources/staff dedicated to the protection of the data.</v>
      </c>
      <c r="D271" s="265" t="str">
        <f aca="false">VLOOKUP($A271,Questions!$A$3:$X$333,20,0)&amp;""</f>
        <v/>
      </c>
      <c r="E271" s="51" t="s">
        <v>487</v>
      </c>
    </row>
    <row r="272" customFormat="false" ht="20.85" hidden="false" customHeight="false" outlineLevel="0" collapsed="false">
      <c r="A272" s="31" t="str">
        <f aca="false">VLOOKUP(LEFT($A273,4),'Auto Responses'!$N$4:$O$38,2,0)&amp;""</f>
        <v> Privacy-Specific Documentation</v>
      </c>
      <c r="B272" s="31"/>
      <c r="C272" s="264" t="str">
        <f aca="false">Questions!$S$2</f>
        <v>Reason for Question</v>
      </c>
      <c r="D272" s="264" t="str">
        <f aca="false">Questions!$T$2</f>
        <v>Follow-Up Inquiries/Responses</v>
      </c>
    </row>
    <row r="273" customFormat="false" ht="36" hidden="false" customHeight="true" outlineLevel="0" collapsed="false">
      <c r="A273" s="265" t="s">
        <v>352</v>
      </c>
      <c r="B273" s="265" t="str">
        <f aca="false">VLOOKUP($A273,Questions!$A$3:$X$333,2,0)&amp;""</f>
        <v>If you have completed a SOC 2 audit, does it include the Privacy Trust Service Principle?</v>
      </c>
      <c r="C273" s="265" t="str">
        <f aca="false">VLOOKUP($A273,Questions!$A$3:$X$333,19,0)&amp;""</f>
        <v>This is specifically asking for the Privacy Trust Service Principle, which is not always included in a SOC 2 audit.</v>
      </c>
      <c r="D273" s="265" t="str">
        <f aca="false">VLOOKUP($A273,Questions!$A$3:$X$333,20,0)&amp;""</f>
        <v/>
      </c>
    </row>
    <row r="274" customFormat="false" ht="38.25" hidden="false" customHeight="true" outlineLevel="0" collapsed="false">
      <c r="A274" s="265" t="s">
        <v>353</v>
      </c>
      <c r="B274" s="265" t="str">
        <f aca="false">VLOOKUP($A274,Questions!$A$3:$X$333,2,0)&amp;""</f>
        <v>Do you conform with a specific industry-standard privacy framework (e.g., NIST Privacy Framework, GDPR, ISO 27701)?</v>
      </c>
      <c r="C274" s="265" t="str">
        <f aca="false">VLOOKUP($A274,Questions!$A$3:$X$333,19,0)&amp;""</f>
        <v>Conformance with industry privacy frameworks can demonstrate an organization's privacy posture and can provide clients a sense of comfort as to the organization's commitment to protection of personal data.</v>
      </c>
      <c r="D274" s="265" t="str">
        <f aca="false">VLOOKUP($A274,Questions!$A$3:$X$333,20,0)&amp;""</f>
        <v>If the organization relies on more than one framework or only on portions of a framework, has this been mapped to the Security Controls Framework? If so, please provide a copy of the mapping used.</v>
      </c>
    </row>
    <row r="275" customFormat="false" ht="39" hidden="false" customHeight="true" outlineLevel="0" collapsed="false">
      <c r="A275" s="265" t="s">
        <v>354</v>
      </c>
      <c r="B275" s="265" t="str">
        <f aca="false">VLOOKUP($A275,Questions!$A$3:$X$333,2,0)&amp;""</f>
        <v>Does your employee onboarding and offboarding policy include training of employees on information security and data privacy?</v>
      </c>
      <c r="C275" s="265" t="str">
        <f aca="false">VLOOKUP($A275,Questions!$A$3:$X$333,19,0)&amp;""</f>
        <v>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thier obligations to maintain protection and privacy of personal data they may have been privy to in the course of their employment with your organization.</v>
      </c>
      <c r="D275" s="265" t="str">
        <f aca="false">VLOOKUP($A275,Questions!$A$3:$X$333,20,0)&amp;""</f>
        <v>If training is provided to specific employee groups only, please provide information as to which groups and an overview of the training for each group.</v>
      </c>
      <c r="E275" s="51" t="s">
        <v>487</v>
      </c>
    </row>
    <row r="276" customFormat="false" ht="20.85" hidden="false" customHeight="false" outlineLevel="0" collapsed="false">
      <c r="A276" s="31" t="str">
        <f aca="false">VLOOKUP(LEFT($A277,4),'Auto Responses'!$N$4:$O$38,2,0)&amp;""</f>
        <v> Privacy of Third Parties</v>
      </c>
      <c r="B276" s="31"/>
      <c r="C276" s="264" t="str">
        <f aca="false">Questions!$S$2</f>
        <v>Reason for Question</v>
      </c>
      <c r="D276" s="264" t="str">
        <f aca="false">Questions!$T$2</f>
        <v>Follow-Up Inquiries/Responses</v>
      </c>
    </row>
    <row r="277" customFormat="false" ht="50.25" hidden="false" customHeight="true" outlineLevel="0" collapsed="false">
      <c r="A277" s="265" t="s">
        <v>355</v>
      </c>
      <c r="B277" s="265" t="str">
        <f aca="false">VLOOKUP($A277,Questions!$A$3:$X$333,2,0)&amp;""</f>
        <v>Do you have contractual agreements with third parties that require them to maintain standards and to comply with all regulatory requirements?*</v>
      </c>
      <c r="C277" s="265" t="str">
        <f aca="false">VLOOKUP($A277,Questions!$A$3:$X$333,19,0)&amp;""</f>
        <v>Inclusion of language in contractual agreements ensures third parties are aware of and have agreed to their obligations to maintain standards and comply with all regulatory requirements in regards to protection of personal data they handle on behalf of the organization.</v>
      </c>
      <c r="D277" s="265" t="str">
        <f aca="false">VLOOKUP($A277,Questions!$A$3:$X$333,20,0)&amp;""</f>
        <v/>
      </c>
    </row>
    <row r="278" customFormat="false" ht="60.75" hidden="false" customHeight="true" outlineLevel="0" collapsed="false">
      <c r="A278" s="265" t="s">
        <v>356</v>
      </c>
      <c r="B278" s="265" t="str">
        <f aca="false">VLOOKUP($A278,Questions!$A$3:$X$333,2,0)&amp;""</f>
        <v>Do you perform privacy impact assesments of third parties that collect, process, or have access to personal data to ensure they meet industry and regulatory standards and to mitigate harmful, unethical, or discriminatory impacts on data subjects?</v>
      </c>
      <c r="C278" s="265" t="str">
        <f aca="false">VLOOKUP($A278,Questions!$A$3:$X$333,19,0)&amp;""</f>
        <v>The organization providing a product or service cannot reasonably claim it appropriately protects privacy of information entrusted to it if it relies on third parties or subprocessors that do not likewise meet or exceed the claimed levels of protection.</v>
      </c>
      <c r="D278" s="265" t="str">
        <f aca="false">VLOOKUP($A278,Questions!$A$3:$X$333,20,0)&amp;""</f>
        <v>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v>
      </c>
      <c r="E278" s="51" t="s">
        <v>487</v>
      </c>
    </row>
    <row r="279" customFormat="false" ht="20.85" hidden="false" customHeight="false" outlineLevel="0" collapsed="false">
      <c r="A279" s="31" t="str">
        <f aca="false">VLOOKUP(LEFT($A280,4),'Auto Responses'!$N$4:$O$38,2,0)&amp;""</f>
        <v> Privacy Change Management</v>
      </c>
      <c r="B279" s="31"/>
      <c r="C279" s="264" t="str">
        <f aca="false">Questions!$S$2</f>
        <v>Reason for Question</v>
      </c>
      <c r="D279" s="264" t="str">
        <f aca="false">Questions!$T$2</f>
        <v>Follow-Up Inquiries/Responses</v>
      </c>
    </row>
    <row r="280" s="265" customFormat="true" ht="39" hidden="false" customHeight="true" outlineLevel="0" collapsed="false">
      <c r="A280" s="265" t="s">
        <v>357</v>
      </c>
      <c r="B280" s="265" t="str">
        <f aca="false">VLOOKUP($A280,Questions!$A$3:$X$333,2,0)&amp;""</f>
        <v>Does your change management process include privacy review and approval?</v>
      </c>
      <c r="C280" s="265" t="str">
        <f aca="false">VLOOKUP($A280,Questions!$A$3:$X$333,19,0)&amp;""</f>
        <v>It is important that change management not overlook any privacy considerations.</v>
      </c>
      <c r="D280" s="265" t="str">
        <f aca="false">VLOOKUP($A280,Questions!$A$3:$X$333,20,0)&amp;""</f>
        <v>If the answer is yes, describe the process; if the answer is no, describe plans to implement.</v>
      </c>
      <c r="E280" s="101"/>
      <c r="F280" s="101"/>
    </row>
    <row r="281" s="265" customFormat="true" ht="38.25" hidden="false" customHeight="true" outlineLevel="0" collapsed="false">
      <c r="A281" s="265" t="s">
        <v>358</v>
      </c>
      <c r="B281" s="265" t="str">
        <f aca="false">VLOOKUP($A281,Questions!$A$3:$X$333,2,0)&amp;""</f>
        <v>Do you have policy and procedure, currently implemented, guiding how privacy risks are mitigated until they can be resolved?</v>
      </c>
      <c r="C281" s="265" t="str">
        <f aca="false">VLOOKUP($A281,Questions!$A$3:$X$333,19,0)&amp;""</f>
        <v>It is important to have a procedure in place to mitiage privacy risks as they come up.</v>
      </c>
      <c r="D281" s="265" t="str">
        <f aca="false">VLOOKUP($A281,Questions!$A$3:$X$333,20,0)&amp;""</f>
        <v>If the answer is yes, describe the process; if the answer is no, describe plans to implement.</v>
      </c>
      <c r="E281" s="51" t="s">
        <v>487</v>
      </c>
      <c r="F281" s="101"/>
    </row>
    <row r="282" customFormat="false" ht="20.85" hidden="false" customHeight="false" outlineLevel="0" collapsed="false">
      <c r="A282" s="31" t="str">
        <f aca="false">VLOOKUP(LEFT($A283,4),'Auto Responses'!$N$4:$O$38,2,0)&amp;""</f>
        <v> Privacy of Sensitive Data</v>
      </c>
      <c r="B282" s="31"/>
      <c r="C282" s="264" t="str">
        <f aca="false">Questions!$S$2</f>
        <v>Reason for Question</v>
      </c>
      <c r="D282" s="264" t="str">
        <f aca="false">Questions!$T$2</f>
        <v>Follow-Up Inquiries/Responses</v>
      </c>
    </row>
    <row r="283" customFormat="false" ht="40.5" hidden="false" customHeight="true" outlineLevel="0" collapsed="false">
      <c r="A283" s="265" t="s">
        <v>359</v>
      </c>
      <c r="B283" s="265" t="str">
        <f aca="false">VLOOKUP($A283,Questions!$A$3:$X$333,2,0)&amp;""</f>
        <v>Do you collect, process, or store demographic information?*</v>
      </c>
      <c r="C283" s="265" t="str">
        <f aca="false">VLOOKUP($A283,Questions!$A$3:$X$333,19,0)&amp;""</f>
        <v>This data can be included in data sets that are deidentified but is sensitive data that could be reidentified if paired with other data points.</v>
      </c>
      <c r="D283" s="265" t="str">
        <f aca="false">VLOOKUP($A283,Questions!$A$3:$X$333,20,0)&amp;""</f>
        <v>Because of the nature of such data, it is important to have a full understanding of how the data is used and protected.</v>
      </c>
    </row>
    <row r="284" customFormat="false" ht="39" hidden="false" customHeight="true" outlineLevel="0" collapsed="false">
      <c r="A284" s="265" t="s">
        <v>360</v>
      </c>
      <c r="B284" s="265" t="str">
        <f aca="false">VLOOKUP($A284,Questions!$A$3:$X$333,2,0)&amp;""</f>
        <v>Do you capture or create genetic, biometric, or behaviometric information (e.g., facial recognition or fingerprints)?*</v>
      </c>
      <c r="C284" s="265" t="str">
        <f aca="false">VLOOKUP($A284,Questions!$A$3:$X$333,19,0)&amp;""</f>
        <v>This data can be included in data sets that are deidentified but is sensitive data that could be reidentified if paired with other data points.</v>
      </c>
      <c r="D284" s="265" t="str">
        <f aca="false">VLOOKUP($A284,Questions!$A$3:$X$333,20,0)&amp;""</f>
        <v>Because of the nature of such data, it is important to have a full understanding of how the data is used and protected.</v>
      </c>
    </row>
    <row r="285" customFormat="false" ht="50.25" hidden="false" customHeight="true" outlineLevel="0" collapsed="false">
      <c r="A285" s="265" t="s">
        <v>361</v>
      </c>
      <c r="B285" s="265" t="str">
        <f aca="false">VLOOKUP($A285,Questions!$A$3:$X$333,2,0)&amp;""</f>
        <v>Do you combine institutional data (including "de-identified," "anonymized," or otherwise masked data) with personal data from any other sources?*</v>
      </c>
      <c r="C285" s="265" t="str">
        <f aca="false">VLOOKUP($A285,Questions!$A$3:$X$333,19,0)&amp;""</f>
        <v/>
      </c>
      <c r="D285" s="265" t="str">
        <f aca="false">VLOOKUP($A285,Questions!$A$3:$X$333,20,0)&amp;""</f>
        <v/>
      </c>
    </row>
    <row r="286" customFormat="false" ht="36" hidden="false" customHeight="true" outlineLevel="0" collapsed="false">
      <c r="A286" s="265" t="s">
        <v>362</v>
      </c>
      <c r="B286" s="265" t="str">
        <f aca="false">VLOOKUP($A286,Questions!$A$3:$X$333,2,0)&amp;""</f>
        <v>Is institutional data coming into or going out of the United States at any point during collection, processing, storage, or archiving?</v>
      </c>
      <c r="C286" s="265" t="str">
        <f aca="false">VLOOKUP($A286,Questions!$A$3:$X$333,19,0)&amp;""</f>
        <v/>
      </c>
      <c r="D286" s="265" t="str">
        <f aca="false">VLOOKUP($A286,Questions!$A$3:$X$333,20,0)&amp;""</f>
        <v/>
      </c>
    </row>
    <row r="287" customFormat="false" ht="18.75" hidden="false" customHeight="true" outlineLevel="0" collapsed="false">
      <c r="A287" s="265" t="s">
        <v>363</v>
      </c>
      <c r="B287" s="265" t="str">
        <f aca="false">VLOOKUP($A287,Questions!$A$3:$X$333,2,0)&amp;""</f>
        <v>Do you capture device information (e.g., IP address, MAC address)?</v>
      </c>
      <c r="C287" s="265" t="str">
        <f aca="false">VLOOKUP($A287,Questions!$A$3:$X$333,19,0)&amp;""</f>
        <v>This question can clarify whether there are any indirect identifiers that don't appear to be readily identifiable but that could be identifiable in the event of unauthorized access or use.</v>
      </c>
      <c r="D287" s="265" t="str">
        <f aca="false">VLOOKUP($A287,Questions!$A$3:$X$333,20,0)&amp;""</f>
        <v/>
      </c>
      <c r="E287" s="265"/>
      <c r="F287" s="265"/>
    </row>
    <row r="288" customFormat="false" ht="34.5" hidden="false" customHeight="true" outlineLevel="0" collapsed="false">
      <c r="A288" s="265" t="s">
        <v>364</v>
      </c>
      <c r="B288" s="265" t="str">
        <f aca="false">VLOOKUP($A288,Questions!$A$3:$X$333,2,0)&amp;""</f>
        <v>Does any part of this service/project involve a web/app tracking component (e.g., use of web-tracking pixels, cookies)?</v>
      </c>
      <c r="C288" s="265" t="str">
        <f aca="false">VLOOKUP($A288,Questions!$A$3:$X$333,19,0)&amp;""</f>
        <v>Web tracking can be used to identify users via their IP address, login information, browser information, etc.</v>
      </c>
      <c r="D288" s="265" t="str">
        <f aca="false">VLOOKUP($A288,Questions!$A$3:$X$333,20,0)&amp;""</f>
        <v/>
      </c>
      <c r="E288" s="265"/>
      <c r="F288" s="265"/>
    </row>
    <row r="289" customFormat="false" ht="36.75" hidden="false" customHeight="true" outlineLevel="0" collapsed="false">
      <c r="A289" s="265" t="s">
        <v>365</v>
      </c>
      <c r="B289" s="265" t="str">
        <f aca="false">VLOOKUP($A289,Questions!$A$3:$X$333,2,0)&amp;""</f>
        <v>Does your staff (or a third party) have access to institutional data (e.g., financial, PHI, or other sensitive information) through any means?</v>
      </c>
      <c r="C289" s="265" t="str">
        <f aca="false">VLOOKUP($A289,Questions!$A$3:$X$333,19,0)&amp;""</f>
        <v>Institutional data may be sensitive in nature and should only be accessed for legitimate business purposes.</v>
      </c>
      <c r="D289" s="265" t="str">
        <f aca="false">VLOOKUP($A289,Questions!$A$3:$X$333,20,0)&amp;""</f>
        <v/>
      </c>
    </row>
    <row r="290" customFormat="false" ht="36.75" hidden="false" customHeight="true" outlineLevel="0" collapsed="false">
      <c r="A290" s="265" t="s">
        <v>366</v>
      </c>
      <c r="B290" s="265" t="str">
        <f aca="false">VLOOKUP($A290,Questions!$A$3:$X$333,2,0)&amp;""</f>
        <v>Will you handle personal data in a manner compliant with all relevant laws, regulations, and applicable institution policies?</v>
      </c>
      <c r="C290" s="265" t="str">
        <f aca="false">VLOOKUP($A290,Questions!$A$3:$X$333,19,0)&amp;""</f>
        <v>Personal data that is handled improperly or against law/regulation can have significant negative impact.</v>
      </c>
      <c r="D290" s="265" t="str">
        <f aca="false">VLOOKUP($A290,Questions!$A$3:$X$333,20,0)&amp;""</f>
        <v/>
      </c>
      <c r="E290" s="51" t="s">
        <v>487</v>
      </c>
    </row>
    <row r="291" customFormat="false" ht="20.85" hidden="false" customHeight="false" outlineLevel="0" collapsed="false">
      <c r="A291" s="31" t="str">
        <f aca="false">VLOOKUP(LEFT($A292,4),'Auto Responses'!$N$4:$O$38,2,0)&amp;""</f>
        <v> Privacy Policies and Procedures</v>
      </c>
      <c r="B291" s="31"/>
      <c r="C291" s="264" t="str">
        <f aca="false">Questions!$S$2</f>
        <v>Reason for Question</v>
      </c>
      <c r="D291" s="264" t="str">
        <f aca="false">Questions!$T$2</f>
        <v>Follow-Up Inquiries/Responses</v>
      </c>
    </row>
    <row r="292" customFormat="false" ht="19.5" hidden="false" customHeight="true" outlineLevel="0" collapsed="false">
      <c r="A292" s="265" t="s">
        <v>367</v>
      </c>
      <c r="B292" s="265" t="str">
        <f aca="false">VLOOKUP($A292,Questions!$A$3:$X$333,2,0)&amp;""</f>
        <v>Do you have a documented privacy management process?</v>
      </c>
      <c r="C292" s="265" t="str">
        <f aca="false">VLOOKUP($A292,Questions!$A$3:$X$333,19,0)&amp;""</f>
        <v>It's important for customers to know their data will remain private after being shared with the vendor.</v>
      </c>
      <c r="D292" s="265" t="str">
        <f aca="false">VLOOKUP($A292,Questions!$A$3:$X$333,20,0)&amp;""</f>
        <v>Are your internal privacy practices and obligations documented in internal corporate privacy policy/policies? Does the internal privacy policy explain your organization's policies and practices regarding collection of personal information and other data about individuals?</v>
      </c>
    </row>
    <row r="293" customFormat="false" ht="36.75" hidden="false" customHeight="true" outlineLevel="0" collapsed="false">
      <c r="A293" s="265" t="s">
        <v>368</v>
      </c>
      <c r="B293" s="265" t="str">
        <f aca="false">VLOOKUP($A293,Questions!$A$3:$X$333,2,0)&amp;""</f>
        <v>Are privacy principles designed into the product lifecycle (i.e., privacy-by-design)?</v>
      </c>
      <c r="C293" s="265" t="str">
        <f aca="false">VLOOKUP($A293,Questions!$A$3:$X$333,19,0)&amp;""</f>
        <v>Building privacy principles into the product lifecycle (e.g., privacy-by-design) can help ease the privacy management process.</v>
      </c>
      <c r="D293" s="265" t="str">
        <f aca="false">VLOOKUP($A293,Questions!$A$3:$X$333,20,0)&amp;""</f>
        <v/>
      </c>
    </row>
    <row r="294" customFormat="false" ht="21" hidden="false" customHeight="true" outlineLevel="0" collapsed="false">
      <c r="A294" s="265" t="s">
        <v>369</v>
      </c>
      <c r="B294" s="265" t="str">
        <f aca="false">VLOOKUP($A294,Questions!$A$3:$X$333,2,0)&amp;""</f>
        <v>Will you comply with applicable breach notification laws?</v>
      </c>
      <c r="C294" s="265" t="str">
        <f aca="false">VLOOKUP($A294,Questions!$A$3:$X$333,19,0)&amp;""</f>
        <v>It's very important to get out in front of the impact from a system breach. Once a breach has been confirmed, timely communication is imperative.</v>
      </c>
      <c r="D294" s="265" t="str">
        <f aca="false">VLOOKUP($A294,Questions!$A$3:$X$333,20,0)&amp;""</f>
        <v>This is usually dictated by the government agency for the geographic region and, possibly, by your cybersecurity insurance carrier.</v>
      </c>
    </row>
    <row r="295" customFormat="false" ht="34.5" hidden="false" customHeight="true" outlineLevel="0" collapsed="false">
      <c r="A295" s="265" t="s">
        <v>370</v>
      </c>
      <c r="B295" s="265" t="str">
        <f aca="false">VLOOKUP($A295,Questions!$A$3:$X$333,2,0)&amp;""</f>
        <v>Will you comply with the institution's policies regarding user privacy and data protection?</v>
      </c>
      <c r="C295" s="265" t="str">
        <f aca="false">VLOOKUP($A295,Questions!$A$3:$X$333,19,0)&amp;""</f>
        <v>This question can help gauge a solution provider's willingness to align with institutional data privacy and protection policies before the contracting stage.</v>
      </c>
      <c r="D295" s="265" t="str">
        <f aca="false">VLOOKUP($A295,Questions!$A$3:$X$333,20,0)&amp;""</f>
        <v>Do any parts of your instituitonal policy conflict with the solution provider's standard practices?</v>
      </c>
    </row>
    <row r="296" customFormat="false" ht="40.5" hidden="false" customHeight="true" outlineLevel="0" collapsed="false">
      <c r="A296" s="265" t="s">
        <v>371</v>
      </c>
      <c r="B296" s="265" t="str">
        <f aca="false">VLOOKUP($A296,Questions!$A$3:$X$333,2,0)&amp;""</f>
        <v>Is your company subject to the laws and regulations of the institution's geographic region?</v>
      </c>
      <c r="C296" s="265" t="str">
        <f aca="false">VLOOKUP($A296,Questions!$A$3:$X$333,19,0)&amp;""</f>
        <v>This question identifies whether the institution and solution provider are beholden to the same laws. If not, this should be covered in the contract.</v>
      </c>
      <c r="D296" s="265" t="str">
        <f aca="false">VLOOKUP($A296,Questions!$A$3:$X$333,20,0)&amp;""</f>
        <v>Which laws apply to your operations in institution's region? Where is institutional data processed or stored? Provide a link or document summarizing your compliance stance.</v>
      </c>
    </row>
    <row r="297" customFormat="false" ht="21.75" hidden="false" customHeight="true" outlineLevel="0" collapsed="false">
      <c r="A297" s="265" t="s">
        <v>372</v>
      </c>
      <c r="B297" s="265" t="str">
        <f aca="false">VLOOKUP($A297,Questions!$A$3:$X$333,2,0)&amp;""</f>
        <v>Do you have a privacy awareness/training program?*</v>
      </c>
      <c r="C297" s="265" t="str">
        <f aca="false">VLOOKUP($A297,Questions!$A$3:$X$333,19,0)&amp;""</f>
        <v>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v>
      </c>
      <c r="D297" s="265" t="str">
        <f aca="false">VLOOKUP($A297,Questions!$A$3:$X$333,20,0)&amp;""</f>
        <v/>
      </c>
    </row>
    <row r="298" customFormat="false" ht="27.75" hidden="false" customHeight="true" outlineLevel="0" collapsed="false">
      <c r="A298" s="265" t="s">
        <v>373</v>
      </c>
      <c r="B298" s="265" t="str">
        <f aca="false">VLOOKUP($A298,Questions!$A$3:$X$333,2,0)&amp;""</f>
        <v>Is privacy awareness training mandatory for all employees?</v>
      </c>
      <c r="C298" s="265" t="str">
        <f aca="false">VLOOKUP($A298,Questions!$A$3:$X$333,19,0)&amp;""</f>
        <v>This question serves a critical purpose in evaluating a vendor or institution’s commitment to data protection, risk mitigation, and regulatory compliance.</v>
      </c>
      <c r="D298" s="265" t="str">
        <f aca="false">VLOOKUP($A298,Questions!$A$3:$X$333,20,0)&amp;""</f>
        <v>This question helps assess whether privacy is treated as an organizational responsibility and whether the institution enforces consistent practices to reduce human risk factors.</v>
      </c>
    </row>
    <row r="299" customFormat="false" ht="36" hidden="false" customHeight="true" outlineLevel="0" collapsed="false">
      <c r="A299" s="265" t="s">
        <v>374</v>
      </c>
      <c r="B299" s="265" t="str">
        <f aca="false">VLOOKUP($A299,Questions!$A$3:$X$333,2,0)&amp;""</f>
        <v>Is AI privacy and ethics awareness/training required for all employees who work with AI?</v>
      </c>
      <c r="C299" s="265" t="str">
        <f aca="false">VLOOKUP($A299,Questions!$A$3:$X$333,19,0)&amp;""</f>
        <v>This question is intended to assess whether an institution or vendor is proactively managing the risks, responsibilities, and ethical implications of AI use, especially as it relates to sensitive data, autonomy, and fairness.</v>
      </c>
      <c r="D299" s="265" t="str">
        <f aca="false">VLOOKUP($A299,Questions!$A$3:$X$333,20,0)&amp;""</f>
        <v>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v>
      </c>
    </row>
    <row r="300" customFormat="false" ht="32.25" hidden="false" customHeight="true" outlineLevel="0" collapsed="false">
      <c r="A300" s="265" t="s">
        <v>375</v>
      </c>
      <c r="B300" s="265" t="str">
        <f aca="false">VLOOKUP($A300,Questions!$A$3:$X$333,2,0)&amp;""</f>
        <v>Do you have any decision-making processes that are completely automated (i.e., there is no human involvement)?</v>
      </c>
      <c r="C300" s="265" t="str">
        <f aca="false">VLOOKUP($A300,Questions!$A$3:$X$333,19,0)&amp;""</f>
        <v>This question identifies potential privacy, ethical, security, and compliance risks that may arise from fully automated systems, especially those that affect individuals or their data.</v>
      </c>
      <c r="D300" s="265" t="str">
        <f aca="false">VLOOKUP($A300,Questions!$A$3:$X$333,20,0)&amp;""</f>
        <v>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v>
      </c>
    </row>
    <row r="301" customFormat="false" ht="48" hidden="false" customHeight="true" outlineLevel="0" collapsed="false">
      <c r="A301" s="265" t="s">
        <v>376</v>
      </c>
      <c r="B301" s="265" t="str">
        <f aca="false">VLOOKUP($A301,Questions!$A$3:$X$333,2,0)&amp;""</f>
        <v>Do you have a documented process for managing automated processing, including validations, monitoring, and data subject requests?</v>
      </c>
      <c r="C301" s="265" t="str">
        <f aca="false">VLOOKUP($A301,Questions!$A$3:$X$333,19,0)&amp;""</f>
        <v>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v>
      </c>
      <c r="D301" s="265" t="str">
        <f aca="false">VLOOKUP($A301,Questions!$A$3:$X$333,20,0)&amp;""</f>
        <v/>
      </c>
    </row>
    <row r="302" customFormat="false" ht="39" hidden="false" customHeight="true" outlineLevel="0" collapsed="false">
      <c r="A302" s="265" t="s">
        <v>377</v>
      </c>
      <c r="B302" s="265" t="str">
        <f aca="false">VLOOKUP($A302,Questions!$A$3:$X$333,2,0)&amp;""</f>
        <v>Do you have a documented policy for sharing information with law enforcement?</v>
      </c>
      <c r="C302" s="265" t="str">
        <f aca="false">VLOOKUP($A302,Questions!$A$3:$X$333,19,0)&amp;""</f>
        <v>The insitution should know which laws apply to the data to which the solution provider will have access. You should also have a thorough understanding of how requests from law enforcement will be handled.</v>
      </c>
      <c r="D302" s="265" t="str">
        <f aca="false">VLOOKUP($A302,Questions!$A$3:$X$333,20,0)&amp;""</f>
        <v/>
      </c>
    </row>
    <row r="303" customFormat="false" ht="33" hidden="false" customHeight="true" outlineLevel="0" collapsed="false">
      <c r="A303" s="265" t="s">
        <v>378</v>
      </c>
      <c r="B303" s="265" t="str">
        <f aca="false">VLOOKUP($A303,Questions!$A$3:$X$333,2,0)&amp;""</f>
        <v>Do you share any institutional data with law enforcement without a valid warrant or subpoena?*</v>
      </c>
      <c r="C303" s="265" t="str">
        <f aca="false">VLOOKUP($A303,Questions!$A$3:$X$333,19,0)&amp;""</f>
        <v/>
      </c>
      <c r="D303" s="265" t="str">
        <f aca="false">VLOOKUP($A303,Questions!$A$3:$X$333,20,0)&amp;""</f>
        <v/>
      </c>
    </row>
    <row r="304" customFormat="false" ht="24.75" hidden="false" customHeight="true" outlineLevel="0" collapsed="false">
      <c r="A304" s="265" t="s">
        <v>379</v>
      </c>
      <c r="B304" s="265" t="str">
        <f aca="false">VLOOKUP($A304,Questions!$A$3:$X$333,2,0)&amp;""</f>
        <v>Does your incident response team include a privacy analyst/officer?</v>
      </c>
      <c r="C304" s="265" t="str">
        <f aca="false">VLOOKUP($A304,Questions!$A$3:$X$333,19,0)&amp;""</f>
        <v>Having a privacy analyst/officer on an incident response team can help the company more quickly identify a breach and comply with applicable notification laws.</v>
      </c>
      <c r="D304" s="265" t="str">
        <f aca="false">VLOOKUP($A304,Questions!$A$3:$X$333,20,0)&amp;""</f>
        <v/>
      </c>
      <c r="E304" s="51" t="s">
        <v>487</v>
      </c>
    </row>
    <row r="305" customFormat="false" ht="20.85" hidden="false" customHeight="false" outlineLevel="0" collapsed="false">
      <c r="A305" s="31" t="str">
        <f aca="false">VLOOKUP(LEFT($A306,4),'Auto Responses'!$N$4:$O$38,2,0)&amp;""</f>
        <v> International Privacy</v>
      </c>
      <c r="B305" s="31"/>
      <c r="C305" s="264" t="str">
        <f aca="false">Questions!$S$2</f>
        <v>Reason for Question</v>
      </c>
      <c r="D305" s="264" t="str">
        <f aca="false">Questions!$T$2</f>
        <v>Follow-Up Inquiries/Responses</v>
      </c>
    </row>
    <row r="306" customFormat="false" ht="31.5" hidden="false" customHeight="true" outlineLevel="0" collapsed="false">
      <c r="A306" s="265" t="s">
        <v>380</v>
      </c>
      <c r="B306" s="265" t="str">
        <f aca="false">VLOOKUP($A306,Questions!$A$3:$X$333,2,0)&amp;""</f>
        <v>Will data be collected from or processed in or stored in the European Economic Area (EEA)?</v>
      </c>
      <c r="C306" s="265" t="str">
        <f aca="false">VLOOKUP($A306,Questions!$A$3:$X$333,19,0)&amp;""</f>
        <v>Understanding whether the vendor processes data in Europe may help with institutional GDPR compliance.</v>
      </c>
      <c r="D306" s="265" t="str">
        <f aca="false">VLOOKUP($A306,Questions!$A$3:$X$333,20,0)&amp;""</f>
        <v>If institution's intended use includes targeting of data subjects in EEA/UK and if vendor marks "no," institution might want to follow up to clarify data collected.</v>
      </c>
    </row>
    <row r="307" customFormat="false" ht="24.75" hidden="false" customHeight="true" outlineLevel="0" collapsed="false">
      <c r="A307" s="265" t="s">
        <v>382</v>
      </c>
      <c r="B307" s="265" t="str">
        <f aca="false">VLOOKUP($A307,Questions!$A$3:$X$333,2,0)&amp;""</f>
        <v>Do you have a data protection officer (DPO)?</v>
      </c>
      <c r="C307" s="265" t="str">
        <f aca="false">VLOOKUP($A307,Questions!$A$3:$X$333,19,0)&amp;""</f>
        <v>Vendors targeting services in the EEA/UK should have GDPR-compliant policies and procedures.</v>
      </c>
      <c r="D307" s="265" t="str">
        <f aca="false">VLOOKUP($A307,Questions!$A$3:$X$333,20,0)&amp;""</f>
        <v/>
      </c>
    </row>
    <row r="308" customFormat="false" ht="33" hidden="false" customHeight="true" outlineLevel="0" collapsed="false">
      <c r="A308" s="265" t="s">
        <v>384</v>
      </c>
      <c r="B308" s="265" t="str">
        <f aca="false">VLOOKUP($A308,Questions!$A$3:$X$333,2,0)&amp;""</f>
        <v>Will you sign appropriate GDPR Standard Contractual Clauses (SCCs) with the institution?</v>
      </c>
      <c r="C308" s="265" t="str">
        <f aca="false">VLOOKUP($A308,Questions!$A$3:$X$333,19,0)&amp;""</f>
        <v>Vendors targeting services in the EEA/UK should have the ability to agree to the SCCs.</v>
      </c>
      <c r="D308" s="265" t="str">
        <f aca="false">VLOOKUP($A308,Questions!$A$3:$X$333,20,0)&amp;""</f>
        <v/>
      </c>
    </row>
    <row r="309" customFormat="false" ht="22.5" hidden="false" customHeight="true" outlineLevel="0" collapsed="false">
      <c r="A309" s="265" t="s">
        <v>386</v>
      </c>
      <c r="B309" s="265" t="str">
        <f aca="false">VLOOKUP($A309,Questions!$A$3:$X$333,2,0)&amp;""</f>
        <v>Will data be collected from or processed in or stored in China?</v>
      </c>
      <c r="C309" s="265" t="str">
        <f aca="false">VLOOKUP($A309,Questions!$A$3:$X$333,19,0)&amp;""</f>
        <v>Understanding whether the vendor processes data in China may help with institutional PIPL compliance.</v>
      </c>
      <c r="D309" s="265" t="str">
        <f aca="false">VLOOKUP($A309,Questions!$A$3:$X$333,20,0)&amp;""</f>
        <v>If institution's intended use includes targeting of data subjects in China and if vendor marks "no," institution might want to follow up to clarify data collected.</v>
      </c>
    </row>
    <row r="310" customFormat="false" ht="34.5" hidden="false" customHeight="true" outlineLevel="0" collapsed="false">
      <c r="A310" s="265" t="s">
        <v>387</v>
      </c>
      <c r="B310" s="265" t="str">
        <f aca="false">VLOOKUP($A310,Questions!$A$3:$X$333,2,0)&amp;""</f>
        <v>Do you comply with PIPL security, privacy, and data localization requirements?</v>
      </c>
      <c r="C310" s="265" t="str">
        <f aca="false">VLOOKUP($A310,Questions!$A$3:$X$333,19,0)&amp;""</f>
        <v>Vendors targeting services in China should have the ability to comply with PIPL requirements.</v>
      </c>
      <c r="D310" s="265" t="str">
        <f aca="false">VLOOKUP($A310,Questions!$A$3:$X$333,20,0)&amp;""</f>
        <v/>
      </c>
      <c r="E310" s="51" t="s">
        <v>487</v>
      </c>
    </row>
    <row r="311" customFormat="false" ht="20.85" hidden="false" customHeight="false" outlineLevel="0" collapsed="false">
      <c r="A311" s="31" t="str">
        <f aca="false">VLOOKUP(LEFT($A312,4),'Auto Responses'!$N$4:$O$38,2,0)&amp;""</f>
        <v> Data Privacy</v>
      </c>
      <c r="B311" s="31"/>
      <c r="C311" s="264" t="str">
        <f aca="false">Questions!$S$2</f>
        <v>Reason for Question</v>
      </c>
      <c r="D311" s="264" t="str">
        <f aca="false">Questions!$T$2</f>
        <v>Follow-Up Inquiries/Responses</v>
      </c>
    </row>
    <row r="312" customFormat="false" ht="31.3" hidden="false" customHeight="false" outlineLevel="0" collapsed="false">
      <c r="A312" s="265" t="s">
        <v>388</v>
      </c>
      <c r="B312" s="265" t="str">
        <f aca="false">VLOOKUP($A312,Questions!$A$3:$X$333,2,0)&amp;""</f>
        <v>Have you performed a Data Privacy Impact Assesssment for the solution/project?</v>
      </c>
      <c r="C312" s="265" t="str">
        <f aca="false">VLOOKUP($A312,Questions!$A$3:$X$333,19,0)&amp;""</f>
        <v/>
      </c>
      <c r="D312" s="265" t="str">
        <f aca="false">VLOOKUP($A312,Questions!$A$3:$X$333,20,0)&amp;""</f>
        <v/>
      </c>
    </row>
    <row r="313" customFormat="false" ht="46.25" hidden="false" customHeight="false" outlineLevel="0" collapsed="false">
      <c r="A313" s="265" t="s">
        <v>389</v>
      </c>
      <c r="B313" s="265" t="str">
        <f aca="false">VLOOKUP($A313,Questions!$A$3:$X$333,2,0)&amp;""</f>
        <v>Do you provide an end-user privacy notice about privacy policies and procedures that identify the purpose(s) for which personal information is collected, used, retained, and disclosed?</v>
      </c>
      <c r="C313" s="265" t="str">
        <f aca="false">VLOOKUP($A313,Questions!$A$3:$X$333,19,0)&amp;""</f>
        <v/>
      </c>
      <c r="D313" s="265" t="str">
        <f aca="false">VLOOKUP($A313,Questions!$A$3:$X$333,20,0)&amp;""</f>
        <v>How do you inform users of changes to the policy?</v>
      </c>
    </row>
    <row r="314" customFormat="false" ht="46.25" hidden="false" customHeight="false" outlineLevel="0" collapsed="false">
      <c r="A314" s="265" t="s">
        <v>390</v>
      </c>
      <c r="B314" s="265" t="str">
        <f aca="false">VLOOKUP($A314,Questions!$A$3:$X$333,2,0)&amp;""</f>
        <v>Do you describe the choices available to the individual and obtain implicit or explicit consent with respect to the collection, use, and disclosure of personal information?</v>
      </c>
      <c r="C314" s="265" t="str">
        <f aca="false">VLOOKUP($A314,Questions!$A$3:$X$333,19,0)&amp;""</f>
        <v/>
      </c>
      <c r="D314" s="265" t="str">
        <f aca="false">VLOOKUP($A314,Questions!$A$3:$X$333,20,0)&amp;""</f>
        <v/>
      </c>
    </row>
    <row r="315" customFormat="false" ht="46.25" hidden="false" customHeight="false" outlineLevel="0" collapsed="false">
      <c r="A315" s="265" t="s">
        <v>391</v>
      </c>
      <c r="B315" s="265" t="str">
        <f aca="false">VLOOKUP($A315,Questions!$A$3:$X$333,2,0)&amp;""</f>
        <v>Do you collect personal information only for the purpose(s) identified in the agreement with an institution or, if there is none, the purpose(s) identified in the privacy notice?</v>
      </c>
      <c r="C315" s="265" t="str">
        <f aca="false">VLOOKUP($A315,Questions!$A$3:$X$333,19,0)&amp;""</f>
        <v>Companies may collect information for purposes not outlined in the service agreement, including quality assurance, marketing, etc. Instituions should have a thorough understanding of what data is being used and how.</v>
      </c>
      <c r="D315" s="265" t="str">
        <f aca="false">VLOOKUP($A315,Questions!$A$3:$X$333,20,0)&amp;""</f>
        <v/>
      </c>
    </row>
    <row r="316" customFormat="false" ht="24.75" hidden="false" customHeight="true" outlineLevel="0" collapsed="false">
      <c r="A316" s="265" t="s">
        <v>392</v>
      </c>
      <c r="B316" s="265" t="str">
        <f aca="false">VLOOKUP($A316,Questions!$A$3:$X$333,2,0)&amp;""</f>
        <v>Do you have a documented list of personal data your service maintains?</v>
      </c>
      <c r="C316" s="265" t="str">
        <f aca="false">VLOOKUP($A316,Questions!$A$3:$X$333,19,0)&amp;""</f>
        <v/>
      </c>
      <c r="D316" s="265" t="str">
        <f aca="false">VLOOKUP($A316,Questions!$A$3:$X$333,20,0)&amp;""</f>
        <v/>
      </c>
    </row>
    <row r="317" customFormat="false" ht="46.25" hidden="false" customHeight="false" outlineLevel="0" collapsed="false">
      <c r="A317" s="265" t="s">
        <v>393</v>
      </c>
      <c r="B317" s="265" t="str">
        <f aca="false">VLOOKUP($A317,Questions!$A$3:$X$333,2,0)&amp;""</f>
        <v>Do you retain personal information for only as long as necessary to fulfill the stated purpose(s) or as required by law or regulation and thereafter appropriately dispose of such information?</v>
      </c>
      <c r="C317" s="265" t="str">
        <f aca="false">VLOOKUP($A317,Questions!$A$3:$X$333,19,0)&amp;""</f>
        <v>Data minimization is a basic privacy principle, and it is important to know whether the solution provider is keeping data longer than necessary and introducing a significant privacy risk.</v>
      </c>
      <c r="D317" s="265" t="str">
        <f aca="false">VLOOKUP($A317,Questions!$A$3:$X$333,20,0)&amp;""</f>
        <v/>
      </c>
    </row>
    <row r="318" customFormat="false" ht="76.1" hidden="false" customHeight="false" outlineLevel="0" collapsed="false">
      <c r="A318" s="265" t="s">
        <v>394</v>
      </c>
      <c r="B318" s="265" t="str">
        <f aca="false">VLOOKUP($A318,Questions!$A$3:$X$333,2,0)&amp;""</f>
        <v>Do you provide individuals with access to their personal information for review and update (i.e., data subject rights)?</v>
      </c>
      <c r="C318" s="265" t="str">
        <f aca="false">VLOOKUP($A318,Questions!$A$3:$X$333,19,0)&amp;""</f>
        <v>This question seeks proof of an entity's ability to honor data-subject rights related to providing an individual access to their own informaiton. Such processes would include descriptions of request processes individuals can follow to review thier information and written processes a data subject may use to ask for changes or corrections to data held about them.</v>
      </c>
      <c r="D318" s="265" t="str">
        <f aca="false">VLOOKUP($A318,Questions!$A$3:$X$333,20,0)&amp;""</f>
        <v/>
      </c>
    </row>
    <row r="319" customFormat="false" ht="46.25" hidden="false" customHeight="false" outlineLevel="0" collapsed="false">
      <c r="A319" s="265" t="s">
        <v>395</v>
      </c>
      <c r="B319" s="265" t="str">
        <f aca="false">VLOOKUP($A319,Questions!$A$3:$X$333,2,0)&amp;""</f>
        <v>Do you disclose personal information to third parties only for the purpose(s) identified in the privacy notice or with the implicit or explicit consent of the individual?</v>
      </c>
      <c r="C319" s="265" t="str">
        <f aca="false">VLOOKUP($A319,Questions!$A$3:$X$333,19,0)&amp;""</f>
        <v/>
      </c>
      <c r="D319" s="265" t="str">
        <f aca="false">VLOOKUP($A319,Questions!$A$3:$X$333,20,0)&amp;""</f>
        <v/>
      </c>
    </row>
    <row r="320" customFormat="false" ht="31.3" hidden="false" customHeight="false" outlineLevel="0" collapsed="false">
      <c r="A320" s="265" t="s">
        <v>396</v>
      </c>
      <c r="B320" s="265" t="str">
        <f aca="false">VLOOKUP($A320,Questions!$A$3:$X$333,2,0)&amp;""</f>
        <v>Do you protect personal information against unauthorized access (both physical and logical)?</v>
      </c>
      <c r="C320" s="265" t="str">
        <f aca="false">VLOOKUP($A320,Questions!$A$3:$X$333,19,0)&amp;""</f>
        <v/>
      </c>
      <c r="D320" s="265" t="str">
        <f aca="false">VLOOKUP($A320,Questions!$A$3:$X$333,20,0)&amp;""</f>
        <v/>
      </c>
    </row>
    <row r="321" customFormat="false" ht="40.5" hidden="false" customHeight="true" outlineLevel="0" collapsed="false">
      <c r="A321" s="265" t="s">
        <v>397</v>
      </c>
      <c r="B321" s="265" t="str">
        <f aca="false">VLOOKUP($A321,Questions!$A$3:$X$333,2,0)&amp;""</f>
        <v>Do you maintain accurate, complete, and relevant personal information for the purposes identified in the privacy notice?</v>
      </c>
      <c r="C321" s="265" t="str">
        <f aca="false">VLOOKUP($A321,Questions!$A$3:$X$333,19,0)&amp;""</f>
        <v/>
      </c>
      <c r="D321" s="265" t="str">
        <f aca="false">VLOOKUP($A321,Questions!$A$3:$X$333,20,0)&amp;""</f>
        <v/>
      </c>
    </row>
    <row r="322" customFormat="false" ht="35.25" hidden="false" customHeight="true" outlineLevel="0" collapsed="false">
      <c r="A322" s="265" t="s">
        <v>398</v>
      </c>
      <c r="B322" s="265" t="str">
        <f aca="false">VLOOKUP($A322,Questions!$A$3:$X$333,2,0)&amp;""</f>
        <v>Do you have procedures to address privacy-related noncompliance complaints and disputes?</v>
      </c>
      <c r="C322" s="265" t="str">
        <f aca="false">VLOOKUP($A322,Questions!$A$3:$X$333,19,0)&amp;""</f>
        <v/>
      </c>
      <c r="D322" s="265" t="str">
        <f aca="false">VLOOKUP($A322,Questions!$A$3:$X$333,20,0)&amp;""</f>
        <v/>
      </c>
    </row>
    <row r="323" customFormat="false" ht="22.5" hidden="false" customHeight="true" outlineLevel="0" collapsed="false">
      <c r="A323" s="265" t="s">
        <v>399</v>
      </c>
      <c r="B323" s="265" t="str">
        <f aca="false">VLOOKUP($A323,Questions!$A$3:$X$333,2,0)&amp;""</f>
        <v>Do you "anonymize," "de-identify," or otherwise mask personal data?</v>
      </c>
      <c r="C323" s="265" t="str">
        <f aca="false">VLOOKUP($A323,Questions!$A$3:$X$333,19,0)&amp;""</f>
        <v/>
      </c>
      <c r="D323" s="265" t="str">
        <f aca="false">VLOOKUP($A323,Questions!$A$3:$X$333,20,0)&amp;""</f>
        <v/>
      </c>
    </row>
    <row r="324" customFormat="false" ht="78" hidden="false" customHeight="true" outlineLevel="0" collapsed="false">
      <c r="A324" s="265" t="s">
        <v>400</v>
      </c>
      <c r="B324" s="265" t="str">
        <f aca="false">VLOOKUP($A324,Questions!$A$3:$X$333,2,0)&amp;""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324" s="265" t="str">
        <f aca="false">VLOOKUP($A324,Questions!$A$3:$X$333,19,0)&amp;""</f>
        <v/>
      </c>
      <c r="D324" s="265" t="str">
        <f aca="false">VLOOKUP($A324,Questions!$A$3:$X$333,20,0)&amp;""</f>
        <v/>
      </c>
    </row>
    <row r="325" customFormat="false" ht="35.25" hidden="false" customHeight="true" outlineLevel="0" collapsed="false">
      <c r="A325" s="265" t="s">
        <v>401</v>
      </c>
      <c r="B325" s="265" t="str">
        <f aca="false">VLOOKUP($A325,Questions!$A$3:$X$333,2,0)&amp;""</f>
        <v>Do you certify stop-processing requests, including any data that is processed by a third party on your behalf?</v>
      </c>
      <c r="C325" s="265" t="str">
        <f aca="false">VLOOKUP($A325,Questions!$A$3:$X$333,19,0)&amp;""</f>
        <v>It is helpful to understand a vendor or third party's actions with data they recieve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v>
      </c>
      <c r="D325" s="265" t="str">
        <f aca="false">VLOOKUP($A325,Questions!$A$3:$X$333,20,0)&amp;""</f>
        <v>If your organization has exchange programs or does business with global organzations or organizations located outside the United States, depending on the services sought, your institution should determine whether this is a requirement.</v>
      </c>
    </row>
    <row r="326" customFormat="false" ht="21" hidden="false" customHeight="true" outlineLevel="0" collapsed="false">
      <c r="A326" s="265" t="s">
        <v>402</v>
      </c>
      <c r="B326" s="265" t="str">
        <f aca="false">VLOOKUP($A326,Questions!$A$3:$X$333,2,0)&amp;""</f>
        <v>Do you have a process to review code for ethical considerations?</v>
      </c>
      <c r="C326" s="265" t="str">
        <f aca="false">VLOOKUP($A326,Questions!$A$3:$X$333,19,0)&amp;""</f>
        <v>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v>
      </c>
      <c r="D326" s="265" t="str">
        <f aca="false">VLOOKUP($A326,Questions!$A$3:$X$333,20,0)&amp;""</f>
        <v/>
      </c>
      <c r="E326" s="51" t="s">
        <v>487</v>
      </c>
    </row>
    <row r="327" customFormat="false" ht="20.85" hidden="false" customHeight="false" outlineLevel="0" collapsed="false">
      <c r="A327" s="31" t="str">
        <f aca="false">VLOOKUP(LEFT($A328,4),'Auto Responses'!$N$4:$O$38,2,0)&amp;""</f>
        <v> Privacy and AI</v>
      </c>
      <c r="B327" s="31"/>
      <c r="C327" s="264" t="str">
        <f aca="false">Questions!$S$2</f>
        <v>Reason for Question</v>
      </c>
      <c r="D327" s="264" t="str">
        <f aca="false">Questions!$T$2</f>
        <v>Follow-Up Inquiries/Responses</v>
      </c>
    </row>
    <row r="328" customFormat="false" ht="42.75" hidden="false" customHeight="true" outlineLevel="0" collapsed="false">
      <c r="A328" s="265" t="s">
        <v>403</v>
      </c>
      <c r="B328" s="265" t="str">
        <f aca="false">VLOOKUP($A328,Questions!$A$3:$X$333,2,0)&amp;""</f>
        <v>Does your service use AI for the processing of institutional data?</v>
      </c>
      <c r="C328" s="265" t="str">
        <f aca="false">VLOOKUP($A328,Questions!$A$3:$X$333,18,0)&amp;""</f>
        <v/>
      </c>
      <c r="D328" s="265" t="str">
        <f aca="false">VLOOKUP($A328,Questions!$A$3:$X$333,19,0)&amp;""</f>
        <v/>
      </c>
    </row>
    <row r="329" customFormat="false" ht="42.75" hidden="false" customHeight="true" outlineLevel="0" collapsed="false">
      <c r="A329" s="265" t="s">
        <v>404</v>
      </c>
      <c r="B329" s="265" t="str">
        <f aca="false">VLOOKUP($A329,Questions!$A$3:$X$333,2,0)&amp;""</f>
        <v>Is any institutional data retained in AI processing?*</v>
      </c>
      <c r="C329" s="265" t="str">
        <f aca="false">VLOOKUP($A329,Questions!$A$3:$X$333,18,0)&amp;""</f>
        <v>Please explain why this does not apply to your product or service.</v>
      </c>
      <c r="D329" s="265" t="str">
        <f aca="false">VLOOKUP($A329,Questions!$A$3:$X$333,19,0)&amp;""</f>
        <v>This question assesses whether institutional data is stored or retained during AI processing, which may have implications for data security, retention policies, and regulatory compliance.</v>
      </c>
    </row>
    <row r="330" customFormat="false" ht="42.75" hidden="false" customHeight="true" outlineLevel="0" collapsed="false">
      <c r="A330" s="265" t="s">
        <v>405</v>
      </c>
      <c r="B330" s="265" t="str">
        <f aca="false">VLOOKUP($A330,Questions!$A$3:$X$333,2,0)&amp;""</f>
        <v>Do you have agreements in place with third parties or subprocessors regarding the protection of customer data and use of AI?*</v>
      </c>
      <c r="C330" s="265" t="str">
        <f aca="false">VLOOKUP($A330,Questions!$A$3:$X$333,18,0)&amp;""</f>
        <v>Please explain why this does not apply to your product or service.</v>
      </c>
      <c r="D330" s="265" t="str">
        <f aca="false">VLOOKUP($A330,Questions!$A$3:$X$333,19,0)&amp;""</f>
        <v>It's important to ensure that third-party vendors or subprocessors involved in AI processing are contractually bound to protect institutional data and comply with privacy standards.</v>
      </c>
    </row>
    <row r="331" customFormat="false" ht="42.75" hidden="false" customHeight="true" outlineLevel="0" collapsed="false">
      <c r="A331" s="265" t="s">
        <v>406</v>
      </c>
      <c r="B331" s="265" t="str">
        <f aca="false">VLOOKUP($A331,Questions!$A$3:$X$333,2,0)&amp;""</f>
        <v>Will institutional data be processed through a third party or subprocessor that also uses AI?</v>
      </c>
      <c r="C331" s="265" t="str">
        <f aca="false">VLOOKUP($A331,Questions!$A$3:$X$333,18,0)&amp;""</f>
        <v/>
      </c>
      <c r="D331" s="265" t="str">
        <f aca="false">VLOOKUP($A331,Questions!$A$3:$X$333,19,0)&amp;""</f>
        <v>This question identifies whether institutional data is shared with or processed by third parties that use AI, which may introduce additional privacy or ethical considerations.</v>
      </c>
    </row>
    <row r="332" customFormat="false" ht="42.75" hidden="false" customHeight="true" outlineLevel="0" collapsed="false">
      <c r="A332" s="265" t="s">
        <v>407</v>
      </c>
      <c r="B332" s="265" t="str">
        <f aca="false">VLOOKUP($A332,Questions!$A$3:$X$333,2,0)&amp;""</f>
        <v>Is AI processing limited to fully licensed commercial enterprise AI services?</v>
      </c>
      <c r="C332" s="265" t="str">
        <f aca="false">VLOOKUP($A332,Questions!$A$3:$X$333,18,0)&amp;""</f>
        <v>Please explain why this does not apply to your product or service.</v>
      </c>
      <c r="D332" s="265" t="str">
        <f aca="false">VLOOKUP($A332,Questions!$A$3:$X$333,19,0)&amp;""</f>
        <v>In most cases, only enterprise licenses allow for an organization to customize what data is collected and how it is used. Free licenses to AI tools could introduce a risk to data.</v>
      </c>
    </row>
    <row r="333" customFormat="false" ht="42.75" hidden="false" customHeight="true" outlineLevel="0" collapsed="false">
      <c r="A333" s="265" t="s">
        <v>408</v>
      </c>
      <c r="B333" s="265" t="str">
        <f aca="false">VLOOKUP($A333,Questions!$A$3:$X$333,2,0)&amp;""</f>
        <v>Will institutional data be used or processed by any shared AI services?</v>
      </c>
      <c r="C333" s="265" t="str">
        <f aca="false">VLOOKUP($A333,Questions!$A$3:$X$333,18,0)&amp;""</f>
        <v/>
      </c>
      <c r="D333" s="265" t="str">
        <f aca="false">VLOOKUP($A333,Questions!$A$3:$X$333,19,0)&amp;""</f>
        <v>Use of AI services and tools runs a risk of being supported by bad batches or databanks of information. Additionally, harmful bias and other data-quality issues can affect AI system trustworthiness, which could lead to negative impacts.</v>
      </c>
    </row>
    <row r="334" customFormat="false" ht="42.75" hidden="false" customHeight="true" outlineLevel="0" collapsed="false">
      <c r="A334" s="265" t="s">
        <v>409</v>
      </c>
      <c r="B334" s="265" t="str">
        <f aca="false">VLOOKUP($A334,Questions!$A$3:$X$333,2,0)&amp;""</f>
        <v>Do you have safeguards in place to protect institutional data and data privacy from unintended AI queries or processing?</v>
      </c>
      <c r="C334" s="265" t="str">
        <f aca="false">VLOOKUP($A334,Questions!$A$3:$X$333,18,0)&amp;""</f>
        <v/>
      </c>
      <c r="D334" s="265" t="str">
        <f aca="false">VLOOKUP($A334,Questions!$A$3:$X$333,19,0)&amp;""</f>
        <v>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v>
      </c>
    </row>
    <row r="335" customFormat="false" ht="42.75" hidden="false" customHeight="true" outlineLevel="0" collapsed="false">
      <c r="A335" s="265" t="s">
        <v>410</v>
      </c>
      <c r="B335" s="265" t="str">
        <f aca="false">VLOOKUP($A335,Questions!$A$3:$X$333,2,0)&amp;""</f>
        <v>Do you provide choice to the user to opt out of AI use?</v>
      </c>
      <c r="C335" s="265" t="str">
        <f aca="false">VLOOKUP($A335,Questions!$A$3:$X$333,18,0)&amp;""</f>
        <v>Please explain why this does not apply to your product or service.</v>
      </c>
      <c r="D335" s="265" t="str">
        <f aca="false">VLOOKUP($A335,Questions!$A$3:$X$333,19,0)&amp;""</f>
        <v/>
      </c>
    </row>
    <row r="336" customFormat="false" ht="42.75" hidden="false" customHeight="true" outlineLevel="0" collapsed="false">
      <c r="A336" s="31" t="str">
        <f aca="false">VLOOKUP(LEFT($A337,4),'Auto Responses'!$N$4:$O$38,2,0)&amp;""</f>
        <v> AI Qualifying Questions</v>
      </c>
      <c r="B336" s="31"/>
      <c r="C336" s="264" t="str">
        <f aca="false">Questions!$S$2</f>
        <v>Reason for Question</v>
      </c>
      <c r="D336" s="264" t="str">
        <f aca="false">Questions!$T$2</f>
        <v>Follow-Up Inquiries/Responses</v>
      </c>
    </row>
    <row r="337" customFormat="false" ht="42.75" hidden="false" customHeight="true" outlineLevel="0" collapsed="false">
      <c r="A337" s="265" t="s">
        <v>307</v>
      </c>
      <c r="B337" s="265" t="str">
        <f aca="false">VLOOKUP($A337,Questions!$A$3:$X$333,2,0)&amp;""</f>
        <v>Does your solution leverage machine learning (ML) or do you plan to do so in the next 12 months?</v>
      </c>
      <c r="C337" s="265" t="str">
        <f aca="false">VLOOKUP($A337,Questions!$A$3:$X$333,19,0)&amp;""</f>
        <v/>
      </c>
      <c r="D337" s="265" t="str">
        <f aca="false">VLOOKUP($A337,Questions!$A$3:$X$333,20,0)&amp;""</f>
        <v/>
      </c>
    </row>
    <row r="338" customFormat="false" ht="42.75" hidden="false" customHeight="true" outlineLevel="0" collapsed="false">
      <c r="A338" s="265" t="s">
        <v>308</v>
      </c>
      <c r="B338" s="265" t="str">
        <f aca="false">VLOOKUP($A338,Questions!$A$3:$X$333,2,0)&amp;""</f>
        <v>Does your solution leverage a large language model (LLM) or do you plan to do so in the next 12 months?</v>
      </c>
      <c r="C338" s="265" t="str">
        <f aca="false">VLOOKUP($A338,Questions!$A$3:$X$333,19,0)&amp;""</f>
        <v/>
      </c>
      <c r="D338" s="265" t="str">
        <f aca="false">VLOOKUP($A338,Questions!$A$3:$X$333,20,0)&amp;""</f>
        <v/>
      </c>
      <c r="E338" s="51" t="s">
        <v>487</v>
      </c>
    </row>
    <row r="339" customFormat="false" ht="42.75" hidden="false" customHeight="true" outlineLevel="0" collapsed="false">
      <c r="A339" s="31" t="str">
        <f aca="false">VLOOKUP(LEFT($A340,4),'Auto Responses'!$N$4:$O$38,2,0)&amp;""</f>
        <v> General AI Questions</v>
      </c>
      <c r="B339" s="31"/>
      <c r="C339" s="264" t="str">
        <f aca="false">Questions!$S$2</f>
        <v>Reason for Question</v>
      </c>
      <c r="D339" s="264" t="str">
        <f aca="false">Questions!$T$2</f>
        <v>Follow-Up Inquiries/Responses</v>
      </c>
    </row>
    <row r="340" customFormat="false" ht="42.75" hidden="false" customHeight="true" outlineLevel="0" collapsed="false">
      <c r="A340" s="265" t="s">
        <v>309</v>
      </c>
      <c r="B340" s="265" t="str">
        <f aca="false">VLOOKUP($A340,Questions!$A$3:$X$333,2,0)&amp;""</f>
        <v>Does your solution have an AI risk model when developing or implementing your solution's AI model?*</v>
      </c>
      <c r="C340" s="265" t="str">
        <f aca="false">VLOOKUP($A340,Questions!$A$3:$X$333,19,0)&amp;""</f>
        <v/>
      </c>
      <c r="D340" s="265" t="str">
        <f aca="false">VLOOKUP($A340,Questions!$A$3:$X$333,20,0)&amp;""</f>
        <v/>
      </c>
    </row>
    <row r="341" customFormat="false" ht="42.75" hidden="false" customHeight="true" outlineLevel="0" collapsed="false">
      <c r="A341" s="265" t="s">
        <v>310</v>
      </c>
      <c r="B341" s="265" t="str">
        <f aca="false">VLOOKUP($A341,Questions!$A$3:$X$333,2,0)&amp;""</f>
        <v>Can your solution's AI features be disabled by tenant and/or user?*</v>
      </c>
      <c r="C341" s="265" t="str">
        <f aca="false">VLOOKUP($A341,Questions!$A$3:$X$333,19,0)&amp;""</f>
        <v/>
      </c>
      <c r="D341" s="265" t="str">
        <f aca="false">VLOOKUP($A341,Questions!$A$3:$X$333,20,0)&amp;""</f>
        <v/>
      </c>
    </row>
    <row r="342" customFormat="false" ht="42.75" hidden="false" customHeight="true" outlineLevel="0" collapsed="false">
      <c r="A342" s="265" t="s">
        <v>311</v>
      </c>
      <c r="B342" s="265" t="str">
        <f aca="false">VLOOKUP($A342,Questions!$A$3:$X$333,2,0)&amp;""</f>
        <v>Have your staff completed responsible AI training?*</v>
      </c>
      <c r="C342" s="265" t="str">
        <f aca="false">VLOOKUP($A342,Questions!$A$3:$X$333,19,0)&amp;""</f>
        <v/>
      </c>
      <c r="D342" s="265" t="str">
        <f aca="false">VLOOKUP($A342,Questions!$A$3:$X$333,20,0)&amp;""</f>
        <v/>
      </c>
    </row>
    <row r="343" customFormat="false" ht="42.75" hidden="false" customHeight="true" outlineLevel="0" collapsed="false">
      <c r="A343" s="265" t="s">
        <v>312</v>
      </c>
      <c r="B343" s="265" t="str">
        <f aca="false">VLOOKUP($A343,Questions!$A$3:$X$333,2,0)&amp;""</f>
        <v>Please describe the capabilities of your solution's AI features.</v>
      </c>
      <c r="C343" s="265" t="str">
        <f aca="false">VLOOKUP($A343,Questions!$A$3:$X$333,19,0)&amp;""</f>
        <v/>
      </c>
      <c r="D343" s="265" t="str">
        <f aca="false">VLOOKUP($A343,Questions!$A$3:$X$333,20,0)&amp;""</f>
        <v/>
      </c>
    </row>
    <row r="344" customFormat="false" ht="42.75" hidden="false" customHeight="true" outlineLevel="0" collapsed="false">
      <c r="A344" s="265" t="s">
        <v>313</v>
      </c>
      <c r="B344" s="265" t="str">
        <f aca="false">VLOOKUP($A344,Questions!$A$3:$X$333,2,0)&amp;""</f>
        <v>Does your solution support business rules to protect sensitive data from being ingested by the AI model?</v>
      </c>
      <c r="C344" s="265" t="str">
        <f aca="false">VLOOKUP($A344,Questions!$A$3:$X$333,19,0)&amp;""</f>
        <v/>
      </c>
      <c r="D344" s="265" t="str">
        <f aca="false">VLOOKUP($A344,Questions!$A$3:$X$333,20,0)&amp;""</f>
        <v/>
      </c>
      <c r="E344" s="51" t="s">
        <v>487</v>
      </c>
    </row>
    <row r="345" customFormat="false" ht="42.75" hidden="false" customHeight="true" outlineLevel="0" collapsed="false">
      <c r="A345" s="31" t="str">
        <f aca="false">VLOOKUP(LEFT($A346,4),'Auto Responses'!$N$4:$O$38,2,0)&amp;""</f>
        <v> AI Policy</v>
      </c>
      <c r="B345" s="31"/>
      <c r="C345" s="264" t="str">
        <f aca="false">Questions!$S$2</f>
        <v>Reason for Question</v>
      </c>
      <c r="D345" s="264" t="str">
        <f aca="false">Questions!$T$2</f>
        <v>Follow-Up Inquiries/Responses</v>
      </c>
    </row>
    <row r="346" customFormat="false" ht="65.25" hidden="false" customHeight="true" outlineLevel="0" collapsed="false">
      <c r="A346" s="265" t="s">
        <v>314</v>
      </c>
      <c r="B346" s="265" t="str">
        <f aca="false">VLOOKUP($A346,Questions!$A$3:$X$333,2,0)&amp;""</f>
        <v>Are your AI developer's policies, processes, procedures, and practices across the organization related to the mapping, measuring, and managing of AI risks conspicuously posted, unambiguous, and implemented effectively?*</v>
      </c>
      <c r="C346" s="265" t="str">
        <f aca="false">VLOOKUP($A346,Questions!$A$3:$X$333,19,0)&amp;""</f>
        <v>To be added in a later version</v>
      </c>
      <c r="D346" s="265" t="str">
        <f aca="false">VLOOKUP($A346,Questions!$A$3:$X$333,20,0)&amp;""</f>
        <v>To be added in a later version</v>
      </c>
    </row>
    <row r="347" customFormat="false" ht="42.75" hidden="false" customHeight="true" outlineLevel="0" collapsed="false">
      <c r="A347" s="265" t="s">
        <v>315</v>
      </c>
      <c r="B347" s="265" t="str">
        <f aca="false">VLOOKUP($A347,Questions!$A$3:$X$333,2,0)&amp;""</f>
        <v>Have you identified and measured AI risks?*</v>
      </c>
      <c r="C347" s="265" t="str">
        <f aca="false">VLOOKUP($A347,Questions!$A$3:$X$333,19,0)&amp;""</f>
        <v/>
      </c>
      <c r="D347" s="265" t="str">
        <f aca="false">VLOOKUP($A347,Questions!$A$3:$X$333,20,0)&amp;""</f>
        <v/>
      </c>
    </row>
    <row r="348" customFormat="false" ht="42.75" hidden="false" customHeight="true" outlineLevel="0" collapsed="false">
      <c r="A348" s="265" t="s">
        <v>316</v>
      </c>
      <c r="B348" s="265" t="str">
        <f aca="false">VLOOKUP($A348,Questions!$A$3:$X$333,2,0)&amp;""</f>
        <v>In the event of an incident, can your solution's AI features be disabled in a timely manner?*</v>
      </c>
      <c r="C348" s="265" t="str">
        <f aca="false">VLOOKUP($A348,Questions!$A$3:$X$333,19,0)&amp;""</f>
        <v/>
      </c>
      <c r="D348" s="265" t="str">
        <f aca="false">VLOOKUP($A348,Questions!$A$3:$X$333,20,0)&amp;""</f>
        <v/>
      </c>
    </row>
    <row r="349" customFormat="false" ht="42.75" hidden="false" customHeight="true" outlineLevel="0" collapsed="false">
      <c r="A349" s="265" t="s">
        <v>317</v>
      </c>
      <c r="B349" s="265" t="str">
        <f aca="false">VLOOKUP($A349,Questions!$A$3:$X$333,2,0)&amp;""</f>
        <v>If disabled because of an incident, can your solution's AI features be re-enabled in a timely manner?*</v>
      </c>
      <c r="C349" s="265" t="str">
        <f aca="false">VLOOKUP($A349,Questions!$A$3:$X$333,19,0)&amp;""</f>
        <v/>
      </c>
      <c r="D349" s="265" t="str">
        <f aca="false">VLOOKUP($A349,Questions!$A$3:$X$333,20,0)&amp;""</f>
        <v/>
      </c>
    </row>
    <row r="350" customFormat="false" ht="42.75" hidden="false" customHeight="true" outlineLevel="0" collapsed="false">
      <c r="A350" s="265" t="s">
        <v>318</v>
      </c>
      <c r="B350" s="265" t="str">
        <f aca="false">VLOOKUP($A350,Questions!$A$3:$X$333,2,0)&amp;""</f>
        <v>Do you have documented technical and procedural processes to address potential negative impacts of AI as described by the AI Risk Management Framework (RMF)?</v>
      </c>
      <c r="C350" s="265" t="str">
        <f aca="false">VLOOKUP($A350,Questions!$A$3:$X$333,19,0)&amp;""</f>
        <v/>
      </c>
      <c r="D350" s="265" t="str">
        <f aca="false">VLOOKUP($A350,Questions!$A$3:$X$333,20,0)&amp;""</f>
        <v/>
      </c>
      <c r="E350" s="51" t="s">
        <v>487</v>
      </c>
    </row>
    <row r="351" customFormat="false" ht="42.75" hidden="false" customHeight="true" outlineLevel="0" collapsed="false">
      <c r="A351" s="31" t="str">
        <f aca="false">VLOOKUP(LEFT($A352,4),'Auto Responses'!$N$4:$O$38,2,0)&amp;""</f>
        <v> AI Data Security</v>
      </c>
      <c r="B351" s="31"/>
      <c r="C351" s="264" t="str">
        <f aca="false">Questions!$S$2</f>
        <v>Reason for Question</v>
      </c>
      <c r="D351" s="264" t="str">
        <f aca="false">Questions!$T$2</f>
        <v>Follow-Up Inquiries/Responses</v>
      </c>
    </row>
    <row r="352" customFormat="false" ht="42.75" hidden="false" customHeight="true" outlineLevel="0" collapsed="false">
      <c r="A352" s="265" t="s">
        <v>319</v>
      </c>
      <c r="B352" s="265" t="str">
        <f aca="false">VLOOKUP($A352,Questions!$A$3:$X$333,2,0)&amp;""</f>
        <v>If sensitive data is introduced to your solution's AI model, can the data be removed from the AI model by request?*</v>
      </c>
      <c r="C352" s="265" t="str">
        <f aca="false">VLOOKUP($A352,Questions!$A$3:$X$333,19,0)&amp;""</f>
        <v>To be added in a later version</v>
      </c>
      <c r="D352" s="265" t="str">
        <f aca="false">VLOOKUP($A352,Questions!$A$3:$X$333,20,0)&amp;""</f>
        <v>To be added in a later version</v>
      </c>
    </row>
    <row r="353" customFormat="false" ht="42.75" hidden="false" customHeight="true" outlineLevel="0" collapsed="false">
      <c r="A353" s="265" t="s">
        <v>320</v>
      </c>
      <c r="B353" s="265" t="str">
        <f aca="false">VLOOKUP($A353,Questions!$A$3:$X$333,2,0)&amp;""</f>
        <v>Is user input data used to influence your solution's AI model?*</v>
      </c>
      <c r="C353" s="265" t="str">
        <f aca="false">VLOOKUP($A353,Questions!$A$3:$X$333,19,0)&amp;""</f>
        <v/>
      </c>
      <c r="D353" s="265" t="str">
        <f aca="false">VLOOKUP($A353,Questions!$A$3:$X$333,20,0)&amp;""</f>
        <v/>
      </c>
    </row>
    <row r="354" customFormat="false" ht="42.75" hidden="false" customHeight="true" outlineLevel="0" collapsed="false">
      <c r="A354" s="265" t="s">
        <v>321</v>
      </c>
      <c r="B354" s="265" t="str">
        <f aca="false">VLOOKUP($A354,Questions!$A$3:$X$333,2,0)&amp;""</f>
        <v>Do you provide logging for your solution's AI feature(s) that includes user, date, and action taken?*</v>
      </c>
      <c r="C354" s="265" t="str">
        <f aca="false">VLOOKUP($A354,Questions!$A$3:$X$333,19,0)&amp;""</f>
        <v/>
      </c>
      <c r="D354" s="265" t="str">
        <f aca="false">VLOOKUP($A354,Questions!$A$3:$X$333,20,0)&amp;""</f>
        <v/>
      </c>
    </row>
    <row r="355" customFormat="false" ht="42.75" hidden="false" customHeight="true" outlineLevel="0" collapsed="false">
      <c r="A355" s="265" t="s">
        <v>322</v>
      </c>
      <c r="B355" s="265" t="str">
        <f aca="false">VLOOKUP($A355,Questions!$A$3:$X$333,2,0)&amp;""</f>
        <v>Please describe how you validate user inputs.</v>
      </c>
      <c r="C355" s="265" t="str">
        <f aca="false">VLOOKUP($A355,Questions!$A$3:$X$333,19,0)&amp;""</f>
        <v/>
      </c>
      <c r="D355" s="265" t="str">
        <f aca="false">VLOOKUP($A355,Questions!$A$3:$X$333,20,0)&amp;""</f>
        <v/>
      </c>
    </row>
    <row r="356" customFormat="false" ht="42.75" hidden="false" customHeight="true" outlineLevel="0" collapsed="false">
      <c r="A356" s="265" t="s">
        <v>323</v>
      </c>
      <c r="B356" s="265" t="str">
        <f aca="false">VLOOKUP($A356,Questions!$A$3:$X$333,2,0)&amp;""</f>
        <v>Do you plan for and mitigate supply-chain risk related to your AI features?</v>
      </c>
      <c r="C356" s="265" t="str">
        <f aca="false">VLOOKUP($A356,Questions!$A$3:$X$333,19,0)&amp;""</f>
        <v/>
      </c>
      <c r="D356" s="265" t="str">
        <f aca="false">VLOOKUP($A356,Questions!$A$3:$X$333,20,0)&amp;""</f>
        <v/>
      </c>
      <c r="E356" s="51" t="s">
        <v>487</v>
      </c>
    </row>
    <row r="357" customFormat="false" ht="42.75" hidden="false" customHeight="true" outlineLevel="0" collapsed="false">
      <c r="A357" s="31" t="str">
        <f aca="false">VLOOKUP(LEFT($A358,4),'Auto Responses'!$N$4:$O$38,2,0)&amp;""</f>
        <v> AI Machine Learning</v>
      </c>
      <c r="B357" s="31"/>
      <c r="C357" s="264" t="str">
        <f aca="false">Questions!$S$2</f>
        <v>Reason for Question</v>
      </c>
      <c r="D357" s="264" t="str">
        <f aca="false">Questions!$T$2</f>
        <v>Follow-Up Inquiries/Responses</v>
      </c>
    </row>
    <row r="358" customFormat="false" ht="42.75" hidden="false" customHeight="true" outlineLevel="0" collapsed="false">
      <c r="A358" s="265" t="s">
        <v>324</v>
      </c>
      <c r="B358" s="265" t="str">
        <f aca="false">VLOOKUP($A358,Questions!$A$3:$X$333,2,0)&amp;""</f>
        <v>Do you separate ML training data from your ML solution data?*</v>
      </c>
      <c r="C358" s="265" t="str">
        <f aca="false">VLOOKUP($A358,Questions!$A$3:$X$333,19,0)&amp;""</f>
        <v>To be added in a later version</v>
      </c>
      <c r="D358" s="265" t="str">
        <f aca="false">VLOOKUP($A358,Questions!$A$3:$X$333,20,0)&amp;""</f>
        <v>To be added in a later version</v>
      </c>
    </row>
    <row r="359" customFormat="false" ht="42.75" hidden="false" customHeight="true" outlineLevel="0" collapsed="false">
      <c r="A359" s="265" t="s">
        <v>325</v>
      </c>
      <c r="B359" s="265" t="str">
        <f aca="false">VLOOKUP($A359,Questions!$A$3:$X$333,2,0)&amp;""</f>
        <v>Do you authenticate and verify your ML model's feedback?*</v>
      </c>
      <c r="C359" s="265" t="str">
        <f aca="false">VLOOKUP($A359,Questions!$A$3:$X$333,19,0)&amp;""</f>
        <v/>
      </c>
      <c r="D359" s="265" t="str">
        <f aca="false">VLOOKUP($A359,Questions!$A$3:$X$333,20,0)&amp;""</f>
        <v/>
      </c>
    </row>
    <row r="360" customFormat="false" ht="42.75" hidden="false" customHeight="true" outlineLevel="0" collapsed="false">
      <c r="A360" s="265" t="s">
        <v>326</v>
      </c>
      <c r="B360" s="265" t="str">
        <f aca="false">VLOOKUP($A360,Questions!$A$3:$X$333,2,0)&amp;""</f>
        <v>Is your ML training data vetted, validated, and verified before training the solution's AI model?</v>
      </c>
      <c r="C360" s="265" t="str">
        <f aca="false">VLOOKUP($A360,Questions!$A$3:$X$333,19,0)&amp;""</f>
        <v/>
      </c>
      <c r="D360" s="265" t="str">
        <f aca="false">VLOOKUP($A360,Questions!$A$3:$X$333,20,0)&amp;""</f>
        <v/>
      </c>
    </row>
    <row r="361" customFormat="false" ht="42.75" hidden="false" customHeight="true" outlineLevel="0" collapsed="false">
      <c r="A361" s="265" t="s">
        <v>327</v>
      </c>
      <c r="B361" s="265" t="str">
        <f aca="false">VLOOKUP($A361,Questions!$A$3:$X$333,2,0)&amp;""</f>
        <v>Is your ML training data monitored and audited?</v>
      </c>
      <c r="C361" s="265" t="str">
        <f aca="false">VLOOKUP($A361,Questions!$A$3:$X$333,19,0)&amp;""</f>
        <v/>
      </c>
      <c r="D361" s="265" t="str">
        <f aca="false">VLOOKUP($A361,Questions!$A$3:$X$333,20,0)&amp;""</f>
        <v/>
      </c>
    </row>
    <row r="362" customFormat="false" ht="42.75" hidden="false" customHeight="true" outlineLevel="0" collapsed="false">
      <c r="A362" s="265" t="s">
        <v>328</v>
      </c>
      <c r="B362" s="265" t="str">
        <f aca="false">VLOOKUP($A362,Questions!$A$3:$X$333,2,0)&amp;""</f>
        <v>Have you limited access to your ML training data to only staff with an explicit business need?</v>
      </c>
      <c r="C362" s="265" t="str">
        <f aca="false">VLOOKUP($A362,Questions!$A$3:$X$333,19,0)&amp;""</f>
        <v/>
      </c>
      <c r="D362" s="265" t="str">
        <f aca="false">VLOOKUP($A362,Questions!$A$3:$X$333,20,0)&amp;""</f>
        <v/>
      </c>
    </row>
    <row r="363" customFormat="false" ht="42.75" hidden="false" customHeight="true" outlineLevel="0" collapsed="false">
      <c r="A363" s="265" t="s">
        <v>329</v>
      </c>
      <c r="B363" s="265" t="str">
        <f aca="false">VLOOKUP($A363,Questions!$A$3:$X$333,2,0)&amp;""</f>
        <v>Have you implemented adversarial training or other model defense mechanisms to protect your ML-related features?</v>
      </c>
      <c r="C363" s="265" t="str">
        <f aca="false">VLOOKUP($A363,Questions!$A$3:$X$333,19,0)&amp;""</f>
        <v/>
      </c>
      <c r="D363" s="265" t="str">
        <f aca="false">VLOOKUP($A363,Questions!$A$3:$X$333,20,0)&amp;""</f>
        <v/>
      </c>
    </row>
    <row r="364" customFormat="false" ht="42.75" hidden="false" customHeight="true" outlineLevel="0" collapsed="false">
      <c r="A364" s="265" t="s">
        <v>330</v>
      </c>
      <c r="B364" s="265" t="str">
        <f aca="false">VLOOKUP($A364,Questions!$A$3:$X$333,2,0)&amp;""</f>
        <v>Do you make your ML model transparent through documentation and log inputs and outputs?</v>
      </c>
      <c r="C364" s="265" t="str">
        <f aca="false">VLOOKUP($A364,Questions!$A$3:$X$333,19,0)&amp;""</f>
        <v/>
      </c>
      <c r="D364" s="265" t="str">
        <f aca="false">VLOOKUP($A364,Questions!$A$3:$X$333,20,0)&amp;""</f>
        <v/>
      </c>
    </row>
    <row r="365" customFormat="false" ht="42.75" hidden="false" customHeight="true" outlineLevel="0" collapsed="false">
      <c r="A365" s="265" t="s">
        <v>331</v>
      </c>
      <c r="B365" s="265" t="str">
        <f aca="false">VLOOKUP($A365,Questions!$A$3:$X$333,2,0)&amp;""</f>
        <v>Do you watermark your ML training data?</v>
      </c>
      <c r="C365" s="265" t="str">
        <f aca="false">VLOOKUP($A365,Questions!$A$3:$X$333,19,0)&amp;""</f>
        <v/>
      </c>
      <c r="D365" s="265" t="str">
        <f aca="false">VLOOKUP($A365,Questions!$A$3:$X$333,20,0)&amp;""</f>
        <v/>
      </c>
      <c r="E365" s="51" t="s">
        <v>487</v>
      </c>
    </row>
    <row r="366" customFormat="false" ht="42.75" hidden="false" customHeight="true" outlineLevel="0" collapsed="false">
      <c r="A366" s="31" t="str">
        <f aca="false">VLOOKUP(LEFT($A367,4),'Auto Responses'!$N$4:$O$38,2,0)&amp;""</f>
        <v> AI Large Language Model (LLM)</v>
      </c>
      <c r="B366" s="31"/>
      <c r="C366" s="264" t="str">
        <f aca="false">Questions!$S$2</f>
        <v>Reason for Question</v>
      </c>
      <c r="D366" s="264" t="str">
        <f aca="false">Questions!$T$2</f>
        <v>Follow-Up Inquiries/Responses</v>
      </c>
    </row>
    <row r="367" customFormat="false" ht="42.75" hidden="false" customHeight="true" outlineLevel="0" collapsed="false">
      <c r="A367" s="265" t="s">
        <v>332</v>
      </c>
      <c r="B367" s="265" t="str">
        <f aca="false">VLOOKUP($A367,Questions!$A$3:$X$333,2,0)&amp;""</f>
        <v>Do you limit your solution's LLM privileges by default?*</v>
      </c>
      <c r="C367" s="265" t="str">
        <f aca="false">VLOOKUP($A367,Questions!$A$3:$X$333,19,0)&amp;""</f>
        <v>To be added in a later version</v>
      </c>
      <c r="D367" s="265" t="str">
        <f aca="false">VLOOKUP($A367,Questions!$A$3:$X$333,20,0)&amp;""</f>
        <v>To be added in a later version</v>
      </c>
    </row>
    <row r="368" customFormat="false" ht="42.75" hidden="false" customHeight="true" outlineLevel="0" collapsed="false">
      <c r="A368" s="265" t="s">
        <v>333</v>
      </c>
      <c r="B368" s="265" t="str">
        <f aca="false">VLOOKUP($A368,Questions!$A$3:$X$333,2,0)&amp;""</f>
        <v>Is your LLM training data vetted, validated, and verified before training the solution's AI model?*</v>
      </c>
      <c r="C368" s="265" t="str">
        <f aca="false">VLOOKUP($A368,Questions!$A$3:$X$333,19,0)&amp;""</f>
        <v/>
      </c>
      <c r="D368" s="265" t="str">
        <f aca="false">VLOOKUP($A368,Questions!$A$3:$X$333,20,0)&amp;""</f>
        <v/>
      </c>
    </row>
    <row r="369" customFormat="false" ht="42.75" hidden="false" customHeight="true" outlineLevel="0" collapsed="false">
      <c r="A369" s="265" t="s">
        <v>334</v>
      </c>
      <c r="B369" s="265" t="str">
        <f aca="false">VLOOKUP($A369,Questions!$A$3:$X$333,2,0)&amp;""</f>
        <v>Do any actions taken by your solution's LLM features or plugins require human intervention?*</v>
      </c>
      <c r="C369" s="265" t="str">
        <f aca="false">VLOOKUP($A369,Questions!$A$3:$X$333,19,0)&amp;""</f>
        <v/>
      </c>
      <c r="D369" s="265" t="str">
        <f aca="false">VLOOKUP($A369,Questions!$A$3:$X$333,20,0)&amp;""</f>
        <v/>
      </c>
    </row>
    <row r="370" customFormat="false" ht="42.75" hidden="false" customHeight="true" outlineLevel="0" collapsed="false">
      <c r="A370" s="265" t="s">
        <v>335</v>
      </c>
      <c r="B370" s="265" t="str">
        <f aca="false">VLOOKUP($A370,Questions!$A$3:$X$333,2,0)&amp;""</f>
        <v>Do you limit multiple LLM model plugins being called as part of a single input?*</v>
      </c>
      <c r="C370" s="265" t="str">
        <f aca="false">VLOOKUP($A370,Questions!$A$3:$X$333,19,0)&amp;""</f>
        <v/>
      </c>
      <c r="D370" s="265" t="str">
        <f aca="false">VLOOKUP($A370,Questions!$A$3:$X$333,20,0)&amp;""</f>
        <v/>
      </c>
    </row>
    <row r="371" customFormat="false" ht="42.75" hidden="false" customHeight="true" outlineLevel="0" collapsed="false">
      <c r="A371" s="265" t="s">
        <v>336</v>
      </c>
      <c r="B371" s="265" t="str">
        <f aca="false">VLOOKUP($A371,Questions!$A$3:$X$333,2,0)&amp;""</f>
        <v>Do you limit your solution's LLM resource use per request, per step, and per action?</v>
      </c>
      <c r="C371" s="265" t="str">
        <f aca="false">VLOOKUP($A371,Questions!$A$3:$X$333,19,0)&amp;""</f>
        <v/>
      </c>
      <c r="D371" s="265" t="str">
        <f aca="false">VLOOKUP($A371,Questions!$A$3:$X$333,20,0)&amp;""</f>
        <v/>
      </c>
    </row>
    <row r="372" customFormat="false" ht="42.75" hidden="false" customHeight="true" outlineLevel="0" collapsed="false">
      <c r="A372" s="265" t="s">
        <v>337</v>
      </c>
      <c r="B372" s="265" t="str">
        <f aca="false">VLOOKUP($A372,Questions!$A$3:$X$333,2,0)&amp;""</f>
        <v>Do you leverage LLM model tuning or other model validation mechanisms?</v>
      </c>
      <c r="C372" s="265" t="str">
        <f aca="false">VLOOKUP($A372,Questions!$A$3:$X$333,19,0)&amp;""</f>
        <v/>
      </c>
      <c r="D372" s="265" t="str">
        <f aca="false">VLOOKUP($A372,Questions!$A$3:$X$333,20,0)&amp;""</f>
        <v/>
      </c>
      <c r="E372" s="51" t="s">
        <v>487</v>
      </c>
    </row>
    <row r="373" customFormat="false" ht="15" hidden="false" customHeight="false" outlineLevel="0" collapsed="false">
      <c r="A373" s="91" t="s">
        <v>338</v>
      </c>
    </row>
    <row r="374" customFormat="false" ht="15" hidden="false" customHeight="false" outlineLevel="0" collapsed="false"/>
    <row r="375" customFormat="false" ht="15" hidden="false" customHeight="false" outlineLevel="0" collapsed="false"/>
    <row r="376" customFormat="false" ht="15" hidden="false" customHeight="false" outlineLevel="0" collapsed="false"/>
  </sheetData>
  <hyperlinks>
    <hyperlink ref="A3" r:id="rId1" display="Connect with your higher education peers by joining the EDUCAUSE HECVAT Users Community Group"/>
    <hyperlink ref="A4" r:id="rId2" display="You can find full tutorials on the HECVAT at educause.edu/HECVAT"/>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outlinePr summaryBelow="0"/>
    <pageSetUpPr fitToPage="false"/>
  </sheetPr>
  <dimension ref="A1:X963"/>
  <sheetViews>
    <sheetView showFormulas="false" showGridLines="true" showRowColHeaders="true" showZeros="false" rightToLeft="false" tabSelected="false" showOutlineSymbols="true" defaultGridColor="true" view="normal" topLeftCell="A1" colorId="64" zoomScale="95" zoomScaleNormal="95" zoomScalePageLayoutView="100" workbookViewId="0">
      <pane xSplit="2" ySplit="2" topLeftCell="L16" activePane="bottomRight" state="frozen"/>
      <selection pane="topLeft" activeCell="A1" activeCellId="0" sqref="A1"/>
      <selection pane="topRight" activeCell="L1" activeCellId="0" sqref="L1"/>
      <selection pane="bottomLeft" activeCell="A16" activeCellId="0" sqref="A16"/>
      <selection pane="bottomRight" activeCell="B17" activeCellId="0" sqref="B17"/>
    </sheetView>
  </sheetViews>
  <sheetFormatPr defaultColWidth="8.796875" defaultRowHeight="15.75" customHeight="true" zeroHeight="false" outlineLevelRow="0" outlineLevelCol="0"/>
  <cols>
    <col collapsed="false" customWidth="false" hidden="false" outlineLevel="0" max="1" min="1" style="272" width="8.79"/>
    <col collapsed="false" customWidth="true" hidden="false" outlineLevel="0" max="2" min="2" style="272" width="35.7"/>
    <col collapsed="false" customWidth="true" hidden="false" outlineLevel="0" max="3" min="3" style="272" width="6.2"/>
    <col collapsed="false" customWidth="true" hidden="false" outlineLevel="0" max="4" min="4" style="272" width="5.9"/>
    <col collapsed="false" customWidth="true" hidden="false" outlineLevel="0" max="5" min="5" style="272" width="6.7"/>
    <col collapsed="false" customWidth="true" hidden="false" outlineLevel="0" max="6" min="6" style="272" width="7.2"/>
    <col collapsed="false" customWidth="true" hidden="false" outlineLevel="0" max="7" min="7" style="272" width="7.3"/>
    <col collapsed="false" customWidth="true" hidden="false" outlineLevel="0" max="9" min="8" style="272" width="7.5"/>
    <col collapsed="false" customWidth="true" hidden="false" outlineLevel="0" max="10" min="10" style="272" width="6.9"/>
    <col collapsed="false" customWidth="true" hidden="false" outlineLevel="0" max="11" min="11" style="272" width="15.4"/>
    <col collapsed="false" customWidth="true" hidden="false" outlineLevel="0" max="12" min="12" style="272" width="12.7"/>
    <col collapsed="false" customWidth="false" hidden="false" outlineLevel="0" max="13" min="13" style="272" width="8.79"/>
    <col collapsed="false" customWidth="true" hidden="false" outlineLevel="0" max="20" min="14" style="272" width="18.2"/>
    <col collapsed="false" customWidth="false" hidden="false" outlineLevel="0" max="22" min="21" style="272" width="8.79"/>
    <col collapsed="false" customWidth="true" hidden="false" outlineLevel="0" max="23" min="23" style="272" width="10.9"/>
    <col collapsed="false" customWidth="true" hidden="false" outlineLevel="0" max="24" min="24" style="272" width="11.2"/>
    <col collapsed="false" customWidth="false" hidden="false" outlineLevel="0" max="16384" min="25" style="272" width="8.79"/>
  </cols>
  <sheetData>
    <row r="1" customFormat="false" ht="15.75" hidden="true" customHeight="true" outlineLevel="0" collapsed="false">
      <c r="A1" s="273" t="s">
        <v>496</v>
      </c>
    </row>
    <row r="2" customFormat="false" ht="26.85" hidden="false" customHeight="false" outlineLevel="0" collapsed="false">
      <c r="A2" s="274" t="s">
        <v>497</v>
      </c>
      <c r="B2" s="274" t="s">
        <v>447</v>
      </c>
      <c r="C2" s="275" t="s">
        <v>498</v>
      </c>
      <c r="D2" s="275" t="s">
        <v>499</v>
      </c>
      <c r="E2" s="275" t="s">
        <v>500</v>
      </c>
      <c r="F2" s="275" t="s">
        <v>501</v>
      </c>
      <c r="G2" s="275" t="s">
        <v>502</v>
      </c>
      <c r="H2" s="275" t="s">
        <v>503</v>
      </c>
      <c r="I2" s="275" t="s">
        <v>504</v>
      </c>
      <c r="J2" s="275" t="s">
        <v>505</v>
      </c>
      <c r="K2" s="276" t="s">
        <v>506</v>
      </c>
      <c r="L2" s="275" t="s">
        <v>507</v>
      </c>
      <c r="M2" s="277" t="s">
        <v>508</v>
      </c>
      <c r="N2" s="275" t="s">
        <v>509</v>
      </c>
      <c r="O2" s="275" t="s">
        <v>510</v>
      </c>
      <c r="P2" s="275" t="s">
        <v>511</v>
      </c>
      <c r="Q2" s="275" t="s">
        <v>512</v>
      </c>
      <c r="R2" s="275" t="s">
        <v>513</v>
      </c>
      <c r="S2" s="278" t="s">
        <v>514</v>
      </c>
      <c r="T2" s="278" t="s">
        <v>515</v>
      </c>
      <c r="U2" s="279" t="s">
        <v>449</v>
      </c>
      <c r="V2" s="279" t="s">
        <v>516</v>
      </c>
      <c r="W2" s="279" t="s">
        <v>451</v>
      </c>
      <c r="X2" s="279" t="s">
        <v>517</v>
      </c>
    </row>
    <row r="3" customFormat="false" ht="15.75" hidden="false" customHeight="false" outlineLevel="0" collapsed="false">
      <c r="A3" s="280" t="s">
        <v>4</v>
      </c>
      <c r="B3" s="280" t="s">
        <v>518</v>
      </c>
      <c r="C3" s="280" t="n">
        <v>1</v>
      </c>
      <c r="D3" s="280" t="n">
        <v>1</v>
      </c>
      <c r="E3" s="280" t="n">
        <v>1</v>
      </c>
      <c r="F3" s="280" t="n">
        <v>1</v>
      </c>
      <c r="G3" s="280" t="n">
        <v>1</v>
      </c>
      <c r="H3" s="280" t="n">
        <v>1</v>
      </c>
      <c r="I3" s="280" t="n">
        <v>1</v>
      </c>
      <c r="J3" s="280" t="n">
        <v>1</v>
      </c>
      <c r="K3" s="280" t="s">
        <v>16</v>
      </c>
      <c r="L3" s="280" t="s">
        <v>519</v>
      </c>
      <c r="M3" s="280" t="n">
        <v>0</v>
      </c>
      <c r="N3" s="280"/>
      <c r="O3" s="280"/>
      <c r="P3" s="280"/>
      <c r="Q3" s="280"/>
      <c r="R3" s="280"/>
      <c r="S3" s="280"/>
      <c r="T3" s="280"/>
      <c r="U3" s="280" t="s">
        <v>520</v>
      </c>
      <c r="V3" s="280"/>
      <c r="W3" s="280"/>
      <c r="X3" s="280"/>
    </row>
    <row r="4" customFormat="false" ht="15.75" hidden="false" customHeight="false" outlineLevel="0" collapsed="false">
      <c r="A4" s="280" t="s">
        <v>6</v>
      </c>
      <c r="B4" s="280" t="s">
        <v>521</v>
      </c>
      <c r="C4" s="280" t="n">
        <v>1</v>
      </c>
      <c r="D4" s="280" t="n">
        <v>1</v>
      </c>
      <c r="E4" s="280" t="n">
        <v>1</v>
      </c>
      <c r="F4" s="280" t="n">
        <v>1</v>
      </c>
      <c r="G4" s="280" t="n">
        <v>1</v>
      </c>
      <c r="H4" s="280" t="n">
        <v>1</v>
      </c>
      <c r="I4" s="280" t="n">
        <v>1</v>
      </c>
      <c r="J4" s="280" t="n">
        <v>1</v>
      </c>
      <c r="K4" s="280" t="s">
        <v>16</v>
      </c>
      <c r="L4" s="280" t="s">
        <v>519</v>
      </c>
      <c r="M4" s="280" t="s">
        <v>522</v>
      </c>
      <c r="N4" s="280"/>
      <c r="O4" s="280"/>
      <c r="P4" s="280"/>
      <c r="Q4" s="280"/>
      <c r="R4" s="280"/>
      <c r="S4" s="280"/>
      <c r="T4" s="280"/>
      <c r="U4" s="280" t="s">
        <v>520</v>
      </c>
      <c r="V4" s="280"/>
      <c r="W4" s="280"/>
      <c r="X4" s="280"/>
    </row>
    <row r="5" customFormat="false" ht="15.75" hidden="false" customHeight="false" outlineLevel="0" collapsed="false">
      <c r="A5" s="280" t="s">
        <v>7</v>
      </c>
      <c r="B5" s="280" t="s">
        <v>523</v>
      </c>
      <c r="C5" s="280" t="n">
        <v>1</v>
      </c>
      <c r="D5" s="280" t="n">
        <v>1</v>
      </c>
      <c r="E5" s="280" t="n">
        <v>1</v>
      </c>
      <c r="F5" s="280" t="n">
        <v>1</v>
      </c>
      <c r="G5" s="280" t="n">
        <v>1</v>
      </c>
      <c r="H5" s="280" t="n">
        <v>1</v>
      </c>
      <c r="I5" s="280" t="n">
        <v>1</v>
      </c>
      <c r="J5" s="280" t="n">
        <v>1</v>
      </c>
      <c r="K5" s="280" t="s">
        <v>16</v>
      </c>
      <c r="L5" s="280" t="s">
        <v>519</v>
      </c>
      <c r="M5" s="280" t="s">
        <v>522</v>
      </c>
      <c r="N5" s="280"/>
      <c r="O5" s="280"/>
      <c r="P5" s="280"/>
      <c r="Q5" s="280"/>
      <c r="R5" s="280"/>
      <c r="S5" s="280"/>
      <c r="T5" s="280"/>
      <c r="U5" s="280" t="s">
        <v>520</v>
      </c>
      <c r="V5" s="280"/>
      <c r="W5" s="280"/>
      <c r="X5" s="280"/>
    </row>
    <row r="6" customFormat="false" ht="15.75" hidden="false" customHeight="false" outlineLevel="0" collapsed="false">
      <c r="A6" s="280" t="s">
        <v>9</v>
      </c>
      <c r="B6" s="280" t="s">
        <v>524</v>
      </c>
      <c r="C6" s="280" t="n">
        <v>1</v>
      </c>
      <c r="D6" s="280" t="n">
        <v>1</v>
      </c>
      <c r="E6" s="280" t="n">
        <v>0</v>
      </c>
      <c r="F6" s="280" t="n">
        <v>0</v>
      </c>
      <c r="G6" s="280" t="n">
        <v>0</v>
      </c>
      <c r="H6" s="280" t="n">
        <v>0</v>
      </c>
      <c r="I6" s="280" t="n">
        <v>0</v>
      </c>
      <c r="J6" s="280" t="n">
        <v>0</v>
      </c>
      <c r="K6" s="280" t="s">
        <v>16</v>
      </c>
      <c r="L6" s="280" t="s">
        <v>519</v>
      </c>
      <c r="M6" s="280" t="s">
        <v>522</v>
      </c>
      <c r="N6" s="280"/>
      <c r="O6" s="280"/>
      <c r="P6" s="280"/>
      <c r="Q6" s="280"/>
      <c r="R6" s="280"/>
      <c r="S6" s="280"/>
      <c r="T6" s="280"/>
      <c r="U6" s="280" t="s">
        <v>520</v>
      </c>
      <c r="V6" s="280"/>
      <c r="W6" s="280"/>
      <c r="X6" s="280"/>
    </row>
    <row r="7" customFormat="false" ht="15.75" hidden="false" customHeight="false" outlineLevel="0" collapsed="false">
      <c r="A7" s="280" t="s">
        <v>11</v>
      </c>
      <c r="B7" s="280" t="s">
        <v>525</v>
      </c>
      <c r="C7" s="280" t="n">
        <v>1</v>
      </c>
      <c r="D7" s="280" t="n">
        <v>1</v>
      </c>
      <c r="E7" s="280" t="n">
        <v>0</v>
      </c>
      <c r="F7" s="280" t="n">
        <v>0</v>
      </c>
      <c r="G7" s="280" t="n">
        <v>0</v>
      </c>
      <c r="H7" s="280" t="n">
        <v>0</v>
      </c>
      <c r="I7" s="280" t="n">
        <v>0</v>
      </c>
      <c r="J7" s="280" t="n">
        <v>0</v>
      </c>
      <c r="K7" s="280" t="s">
        <v>16</v>
      </c>
      <c r="L7" s="280" t="s">
        <v>519</v>
      </c>
      <c r="M7" s="280" t="s">
        <v>522</v>
      </c>
      <c r="N7" s="280"/>
      <c r="O7" s="280"/>
      <c r="P7" s="280"/>
      <c r="Q7" s="280"/>
      <c r="R7" s="280"/>
      <c r="S7" s="280"/>
      <c r="T7" s="280"/>
      <c r="U7" s="280" t="s">
        <v>520</v>
      </c>
      <c r="V7" s="280"/>
      <c r="W7" s="280"/>
      <c r="X7" s="280"/>
    </row>
    <row r="8" customFormat="false" ht="15.75" hidden="false" customHeight="false" outlineLevel="0" collapsed="false">
      <c r="A8" s="280" t="s">
        <v>13</v>
      </c>
      <c r="B8" s="280" t="s">
        <v>526</v>
      </c>
      <c r="C8" s="280" t="n">
        <v>1</v>
      </c>
      <c r="D8" s="280" t="n">
        <v>1</v>
      </c>
      <c r="E8" s="280" t="n">
        <v>0</v>
      </c>
      <c r="F8" s="280" t="n">
        <v>0</v>
      </c>
      <c r="G8" s="280" t="n">
        <v>0</v>
      </c>
      <c r="H8" s="280" t="n">
        <v>0</v>
      </c>
      <c r="I8" s="280" t="n">
        <v>0</v>
      </c>
      <c r="J8" s="280" t="n">
        <v>0</v>
      </c>
      <c r="K8" s="280" t="s">
        <v>16</v>
      </c>
      <c r="L8" s="280" t="s">
        <v>519</v>
      </c>
      <c r="M8" s="280" t="s">
        <v>522</v>
      </c>
      <c r="N8" s="280"/>
      <c r="O8" s="280"/>
      <c r="P8" s="280"/>
      <c r="Q8" s="280"/>
      <c r="R8" s="280"/>
      <c r="S8" s="280"/>
      <c r="T8" s="280"/>
      <c r="U8" s="280" t="s">
        <v>520</v>
      </c>
      <c r="V8" s="280"/>
      <c r="W8" s="280"/>
      <c r="X8" s="280"/>
    </row>
    <row r="9" customFormat="false" ht="15.75" hidden="false" customHeight="false" outlineLevel="0" collapsed="false">
      <c r="A9" s="280" t="s">
        <v>15</v>
      </c>
      <c r="B9" s="280" t="s">
        <v>527</v>
      </c>
      <c r="C9" s="280" t="n">
        <v>1</v>
      </c>
      <c r="D9" s="280" t="n">
        <v>1</v>
      </c>
      <c r="E9" s="280" t="n">
        <v>0</v>
      </c>
      <c r="F9" s="280" t="n">
        <v>0</v>
      </c>
      <c r="G9" s="280" t="n">
        <v>0</v>
      </c>
      <c r="H9" s="280" t="n">
        <v>0</v>
      </c>
      <c r="I9" s="280" t="n">
        <v>0</v>
      </c>
      <c r="J9" s="280" t="n">
        <v>0</v>
      </c>
      <c r="K9" s="280" t="s">
        <v>16</v>
      </c>
      <c r="L9" s="280" t="s">
        <v>519</v>
      </c>
      <c r="M9" s="280" t="s">
        <v>522</v>
      </c>
      <c r="N9" s="280"/>
      <c r="O9" s="280"/>
      <c r="P9" s="280"/>
      <c r="Q9" s="280"/>
      <c r="R9" s="280"/>
      <c r="S9" s="280"/>
      <c r="T9" s="280"/>
      <c r="U9" s="280" t="s">
        <v>520</v>
      </c>
      <c r="V9" s="280"/>
      <c r="W9" s="280"/>
      <c r="X9" s="280"/>
    </row>
    <row r="10" customFormat="false" ht="15.75" hidden="false" customHeight="false" outlineLevel="0" collapsed="false">
      <c r="A10" s="280" t="s">
        <v>17</v>
      </c>
      <c r="B10" s="280" t="s">
        <v>528</v>
      </c>
      <c r="C10" s="280" t="n">
        <v>1</v>
      </c>
      <c r="D10" s="280" t="n">
        <v>1</v>
      </c>
      <c r="E10" s="280" t="n">
        <v>1</v>
      </c>
      <c r="F10" s="280" t="n">
        <v>1</v>
      </c>
      <c r="G10" s="280" t="n">
        <v>1</v>
      </c>
      <c r="H10" s="280" t="n">
        <v>1</v>
      </c>
      <c r="I10" s="280" t="n">
        <v>1</v>
      </c>
      <c r="J10" s="280" t="n">
        <v>1</v>
      </c>
      <c r="K10" s="280" t="s">
        <v>16</v>
      </c>
      <c r="L10" s="280" t="s">
        <v>519</v>
      </c>
      <c r="M10" s="280"/>
      <c r="N10" s="280"/>
      <c r="O10" s="280"/>
      <c r="P10" s="280"/>
      <c r="Q10" s="280"/>
      <c r="R10" s="280"/>
      <c r="S10" s="280"/>
      <c r="T10" s="280"/>
      <c r="U10" s="280" t="s">
        <v>520</v>
      </c>
      <c r="V10" s="280"/>
      <c r="W10" s="280"/>
      <c r="X10" s="280"/>
    </row>
    <row r="11" customFormat="false" ht="52.2" hidden="false" customHeight="false" outlineLevel="0" collapsed="false">
      <c r="A11" s="280" t="s">
        <v>19</v>
      </c>
      <c r="B11" s="280" t="s">
        <v>529</v>
      </c>
      <c r="C11" s="280" t="n">
        <v>1</v>
      </c>
      <c r="D11" s="280" t="n">
        <v>0</v>
      </c>
      <c r="E11" s="280" t="n">
        <v>0</v>
      </c>
      <c r="F11" s="280" t="n">
        <v>0</v>
      </c>
      <c r="G11" s="280" t="n">
        <v>0</v>
      </c>
      <c r="H11" s="280" t="n">
        <v>0</v>
      </c>
      <c r="I11" s="280" t="n">
        <v>0</v>
      </c>
      <c r="J11" s="280" t="n">
        <v>1</v>
      </c>
      <c r="K11" s="280" t="s">
        <v>16</v>
      </c>
      <c r="L11" s="280" t="s">
        <v>519</v>
      </c>
      <c r="M11" s="280" t="s">
        <v>522</v>
      </c>
      <c r="N11" s="280"/>
      <c r="O11" s="280"/>
      <c r="P11" s="280"/>
      <c r="Q11" s="280"/>
      <c r="R11" s="280"/>
      <c r="S11" s="280" t="s">
        <v>530</v>
      </c>
      <c r="T11" s="280" t="s">
        <v>531</v>
      </c>
      <c r="U11" s="280" t="s">
        <v>520</v>
      </c>
      <c r="V11" s="280"/>
      <c r="W11" s="280"/>
      <c r="X11" s="280"/>
    </row>
    <row r="12" customFormat="false" ht="242.25" hidden="false" customHeight="false" outlineLevel="0" collapsed="false">
      <c r="A12" s="280" t="s">
        <v>25</v>
      </c>
      <c r="B12" s="280" t="s">
        <v>532</v>
      </c>
      <c r="C12" s="280" t="n">
        <v>1</v>
      </c>
      <c r="D12" s="280" t="n">
        <v>0</v>
      </c>
      <c r="E12" s="280" t="n">
        <v>0</v>
      </c>
      <c r="F12" s="280" t="n">
        <v>0</v>
      </c>
      <c r="G12" s="280" t="n">
        <v>0</v>
      </c>
      <c r="H12" s="280" t="n">
        <v>0</v>
      </c>
      <c r="I12" s="280" t="n">
        <v>0</v>
      </c>
      <c r="J12" s="280" t="n">
        <v>1</v>
      </c>
      <c r="K12" s="280"/>
      <c r="L12" s="280" t="s">
        <v>533</v>
      </c>
      <c r="M12" s="280" t="s">
        <v>522</v>
      </c>
      <c r="N12" s="280"/>
      <c r="O12" s="280"/>
      <c r="P12" s="280" t="s">
        <v>534</v>
      </c>
      <c r="Q12" s="280" t="s">
        <v>535</v>
      </c>
      <c r="R12" s="280"/>
      <c r="S12" s="280" t="s">
        <v>536</v>
      </c>
      <c r="T12" s="280" t="s">
        <v>537</v>
      </c>
      <c r="U12" s="280" t="s">
        <v>31</v>
      </c>
      <c r="V12" s="280" t="s">
        <v>522</v>
      </c>
      <c r="W12" s="280" t="s">
        <v>538</v>
      </c>
      <c r="X12" s="280" t="n">
        <f aca="false">IF($W12="Critical Importance",20,IF($W12="Minor Importance",5,10))</f>
        <v>20</v>
      </c>
    </row>
    <row r="13" customFormat="false" ht="128.35" hidden="false" customHeight="false" outlineLevel="0" collapsed="false">
      <c r="A13" s="280" t="s">
        <v>28</v>
      </c>
      <c r="B13" s="280" t="s">
        <v>539</v>
      </c>
      <c r="C13" s="280" t="n">
        <v>1</v>
      </c>
      <c r="D13" s="280" t="n">
        <v>0</v>
      </c>
      <c r="E13" s="280" t="n">
        <v>0</v>
      </c>
      <c r="F13" s="280" t="n">
        <v>0</v>
      </c>
      <c r="G13" s="280" t="n">
        <v>0</v>
      </c>
      <c r="H13" s="280" t="n">
        <v>0</v>
      </c>
      <c r="I13" s="280" t="n">
        <v>0</v>
      </c>
      <c r="J13" s="280" t="n">
        <v>1</v>
      </c>
      <c r="K13" s="280"/>
      <c r="L13" s="280" t="s">
        <v>520</v>
      </c>
      <c r="M13" s="280" t="s">
        <v>522</v>
      </c>
      <c r="N13" s="280"/>
      <c r="O13" s="280" t="s">
        <v>540</v>
      </c>
      <c r="P13" s="280" t="s">
        <v>540</v>
      </c>
      <c r="Q13" s="280" t="s">
        <v>540</v>
      </c>
      <c r="R13" s="280"/>
      <c r="S13" s="280" t="s">
        <v>541</v>
      </c>
      <c r="T13" s="280" t="s">
        <v>542</v>
      </c>
      <c r="U13" s="280" t="s">
        <v>520</v>
      </c>
      <c r="V13" s="280" t="s">
        <v>522</v>
      </c>
      <c r="W13" s="280"/>
      <c r="X13" s="280"/>
    </row>
    <row r="14" customFormat="false" ht="191.75" hidden="false" customHeight="false" outlineLevel="0" collapsed="false">
      <c r="A14" s="280" t="s">
        <v>30</v>
      </c>
      <c r="B14" s="280" t="s">
        <v>543</v>
      </c>
      <c r="C14" s="280" t="n">
        <v>1</v>
      </c>
      <c r="D14" s="280" t="n">
        <v>0</v>
      </c>
      <c r="E14" s="280" t="n">
        <v>0</v>
      </c>
      <c r="F14" s="280" t="n">
        <v>0</v>
      </c>
      <c r="G14" s="280" t="n">
        <v>0</v>
      </c>
      <c r="H14" s="280" t="n">
        <v>0</v>
      </c>
      <c r="I14" s="280" t="n">
        <v>0</v>
      </c>
      <c r="J14" s="280" t="n">
        <v>1</v>
      </c>
      <c r="K14" s="280"/>
      <c r="L14" s="280" t="s">
        <v>533</v>
      </c>
      <c r="M14" s="280" t="s">
        <v>522</v>
      </c>
      <c r="N14" s="280"/>
      <c r="O14" s="280"/>
      <c r="P14" s="280" t="s">
        <v>544</v>
      </c>
      <c r="Q14" s="280"/>
      <c r="R14" s="280"/>
      <c r="S14" s="280" t="s">
        <v>545</v>
      </c>
      <c r="T14" s="280" t="s">
        <v>546</v>
      </c>
      <c r="U14" s="280" t="s">
        <v>31</v>
      </c>
      <c r="V14" s="280" t="s">
        <v>522</v>
      </c>
      <c r="W14" s="280" t="s">
        <v>547</v>
      </c>
      <c r="X14" s="280" t="n">
        <f aca="false">IF($W14="Critical Importance",20,IF($W14="Minor Importance",5,10))</f>
        <v>5</v>
      </c>
    </row>
    <row r="15" customFormat="false" ht="242.5" hidden="false" customHeight="false" outlineLevel="0" collapsed="false">
      <c r="A15" s="280" t="s">
        <v>33</v>
      </c>
      <c r="B15" s="280" t="s">
        <v>548</v>
      </c>
      <c r="C15" s="280" t="n">
        <v>1</v>
      </c>
      <c r="D15" s="280" t="n">
        <v>0</v>
      </c>
      <c r="E15" s="280" t="n">
        <v>0</v>
      </c>
      <c r="F15" s="280" t="n">
        <v>0</v>
      </c>
      <c r="G15" s="280" t="n">
        <v>0</v>
      </c>
      <c r="H15" s="280" t="n">
        <v>0</v>
      </c>
      <c r="I15" s="280" t="n">
        <v>0</v>
      </c>
      <c r="J15" s="280" t="n">
        <v>1</v>
      </c>
      <c r="K15" s="280"/>
      <c r="L15" s="280" t="s">
        <v>533</v>
      </c>
      <c r="M15" s="280" t="s">
        <v>522</v>
      </c>
      <c r="N15" s="280"/>
      <c r="O15" s="280"/>
      <c r="P15" s="280" t="s">
        <v>549</v>
      </c>
      <c r="Q15" s="280" t="s">
        <v>550</v>
      </c>
      <c r="R15" s="280"/>
      <c r="S15" s="280" t="s">
        <v>551</v>
      </c>
      <c r="T15" s="280" t="s">
        <v>552</v>
      </c>
      <c r="U15" s="280" t="s">
        <v>31</v>
      </c>
      <c r="V15" s="280" t="s">
        <v>522</v>
      </c>
      <c r="W15" s="280" t="s">
        <v>547</v>
      </c>
      <c r="X15" s="280" t="n">
        <f aca="false">IF($W15="Critical Importance",20,IF($W15="Minor Importance",5,10))</f>
        <v>5</v>
      </c>
    </row>
    <row r="16" customFormat="false" ht="217.15" hidden="false" customHeight="false" outlineLevel="0" collapsed="false">
      <c r="A16" s="280" t="s">
        <v>35</v>
      </c>
      <c r="B16" s="280" t="s">
        <v>553</v>
      </c>
      <c r="C16" s="280" t="n">
        <v>1</v>
      </c>
      <c r="D16" s="280" t="n">
        <v>0</v>
      </c>
      <c r="E16" s="280" t="n">
        <v>0</v>
      </c>
      <c r="F16" s="280" t="n">
        <v>0</v>
      </c>
      <c r="G16" s="280" t="n">
        <v>0</v>
      </c>
      <c r="H16" s="280" t="n">
        <v>0</v>
      </c>
      <c r="I16" s="280" t="n">
        <v>0</v>
      </c>
      <c r="J16" s="280" t="n">
        <v>0</v>
      </c>
      <c r="K16" s="280"/>
      <c r="L16" s="280" t="s">
        <v>519</v>
      </c>
      <c r="M16" s="280" t="n">
        <v>0</v>
      </c>
      <c r="N16" s="280"/>
      <c r="O16" s="280" t="s">
        <v>554</v>
      </c>
      <c r="P16" s="280" t="s">
        <v>554</v>
      </c>
      <c r="Q16" s="280" t="s">
        <v>554</v>
      </c>
      <c r="R16" s="280"/>
      <c r="S16" s="280" t="s">
        <v>555</v>
      </c>
      <c r="T16" s="280" t="s">
        <v>556</v>
      </c>
      <c r="U16" s="280" t="s">
        <v>520</v>
      </c>
      <c r="V16" s="280" t="n">
        <v>0</v>
      </c>
      <c r="W16" s="280"/>
      <c r="X16" s="280"/>
    </row>
    <row r="17" customFormat="false" ht="64.9" hidden="false" customHeight="false" outlineLevel="0" collapsed="false">
      <c r="A17" s="280" t="s">
        <v>38</v>
      </c>
      <c r="B17" s="281" t="s">
        <v>557</v>
      </c>
      <c r="C17" s="280" t="n">
        <v>1</v>
      </c>
      <c r="D17" s="280" t="n">
        <v>0</v>
      </c>
      <c r="E17" s="280" t="n">
        <v>1</v>
      </c>
      <c r="F17" s="280" t="n">
        <v>1</v>
      </c>
      <c r="G17" s="280" t="n">
        <v>0</v>
      </c>
      <c r="H17" s="280" t="n">
        <v>0</v>
      </c>
      <c r="I17" s="280" t="n">
        <v>0</v>
      </c>
      <c r="J17" s="280" t="n">
        <v>0</v>
      </c>
      <c r="K17" s="280" t="s">
        <v>16</v>
      </c>
      <c r="L17" s="280" t="s">
        <v>519</v>
      </c>
      <c r="M17" s="280"/>
      <c r="N17" s="280"/>
      <c r="O17" s="280" t="s">
        <v>558</v>
      </c>
      <c r="P17" s="280" t="s">
        <v>559</v>
      </c>
      <c r="Q17" s="280" t="s">
        <v>560</v>
      </c>
      <c r="R17" s="280"/>
      <c r="S17" s="280"/>
      <c r="T17" s="280"/>
      <c r="U17" s="280" t="s">
        <v>520</v>
      </c>
      <c r="V17" s="280"/>
      <c r="W17" s="280"/>
      <c r="X17" s="280"/>
    </row>
    <row r="18" customFormat="false" ht="64.9" hidden="false" customHeight="false" outlineLevel="0" collapsed="false">
      <c r="A18" s="280" t="s">
        <v>40</v>
      </c>
      <c r="B18" s="280" t="s">
        <v>561</v>
      </c>
      <c r="C18" s="280" t="n">
        <v>1</v>
      </c>
      <c r="D18" s="280" t="n">
        <v>0</v>
      </c>
      <c r="E18" s="280" t="n">
        <v>0</v>
      </c>
      <c r="F18" s="280" t="n">
        <v>0</v>
      </c>
      <c r="G18" s="280" t="n">
        <v>1</v>
      </c>
      <c r="H18" s="280" t="n">
        <v>0</v>
      </c>
      <c r="I18" s="280" t="n">
        <v>0</v>
      </c>
      <c r="J18" s="280" t="n">
        <v>0</v>
      </c>
      <c r="K18" s="280" t="s">
        <v>16</v>
      </c>
      <c r="L18" s="280" t="s">
        <v>519</v>
      </c>
      <c r="M18" s="280"/>
      <c r="N18" s="280"/>
      <c r="O18" s="280" t="s">
        <v>562</v>
      </c>
      <c r="P18" s="280" t="s">
        <v>563</v>
      </c>
      <c r="Q18" s="280" t="s">
        <v>564</v>
      </c>
      <c r="R18" s="280"/>
      <c r="S18" s="280"/>
      <c r="T18" s="280"/>
      <c r="U18" s="280" t="s">
        <v>520</v>
      </c>
      <c r="V18" s="280"/>
      <c r="W18" s="280"/>
      <c r="X18" s="280"/>
    </row>
    <row r="19" customFormat="false" ht="52.2" hidden="false" customHeight="false" outlineLevel="0" collapsed="false">
      <c r="A19" s="280" t="s">
        <v>42</v>
      </c>
      <c r="B19" s="280" t="s">
        <v>565</v>
      </c>
      <c r="C19" s="280" t="n">
        <v>1</v>
      </c>
      <c r="D19" s="280" t="n">
        <v>0</v>
      </c>
      <c r="E19" s="280" t="n">
        <v>0</v>
      </c>
      <c r="F19" s="280" t="n">
        <v>0</v>
      </c>
      <c r="G19" s="280" t="n">
        <v>0</v>
      </c>
      <c r="H19" s="280" t="n">
        <v>1</v>
      </c>
      <c r="I19" s="280" t="n">
        <v>0</v>
      </c>
      <c r="J19" s="280" t="n">
        <v>0</v>
      </c>
      <c r="K19" s="280" t="s">
        <v>16</v>
      </c>
      <c r="L19" s="280" t="s">
        <v>519</v>
      </c>
      <c r="M19" s="280"/>
      <c r="N19" s="280"/>
      <c r="O19" s="280"/>
      <c r="P19" s="280" t="s">
        <v>566</v>
      </c>
      <c r="Q19" s="280" t="s">
        <v>567</v>
      </c>
      <c r="R19" s="280"/>
      <c r="S19" s="280"/>
      <c r="T19" s="280"/>
      <c r="U19" s="280" t="s">
        <v>520</v>
      </c>
      <c r="V19" s="280"/>
      <c r="W19" s="280"/>
      <c r="X19" s="280"/>
    </row>
    <row r="20" customFormat="false" ht="39.55" hidden="false" customHeight="false" outlineLevel="0" collapsed="false">
      <c r="A20" s="280" t="s">
        <v>44</v>
      </c>
      <c r="B20" s="280" t="s">
        <v>568</v>
      </c>
      <c r="C20" s="280" t="n">
        <v>1</v>
      </c>
      <c r="D20" s="280" t="n">
        <v>0</v>
      </c>
      <c r="E20" s="280" t="n">
        <v>0</v>
      </c>
      <c r="F20" s="280" t="n">
        <v>0</v>
      </c>
      <c r="G20" s="280" t="n">
        <v>0</v>
      </c>
      <c r="H20" s="280" t="n">
        <v>0</v>
      </c>
      <c r="I20" s="280" t="n">
        <v>1</v>
      </c>
      <c r="J20" s="280" t="n">
        <v>1</v>
      </c>
      <c r="K20" s="280" t="s">
        <v>16</v>
      </c>
      <c r="L20" s="280" t="s">
        <v>519</v>
      </c>
      <c r="M20" s="280"/>
      <c r="N20" s="280"/>
      <c r="O20" s="280"/>
      <c r="P20" s="280" t="s">
        <v>569</v>
      </c>
      <c r="Q20" s="280" t="s">
        <v>570</v>
      </c>
      <c r="R20" s="280"/>
      <c r="S20" s="280"/>
      <c r="T20" s="280"/>
      <c r="U20" s="280" t="s">
        <v>520</v>
      </c>
      <c r="V20" s="280"/>
      <c r="W20" s="280"/>
      <c r="X20" s="280"/>
    </row>
    <row r="21" customFormat="false" ht="77.6" hidden="false" customHeight="false" outlineLevel="0" collapsed="false">
      <c r="A21" s="280" t="s">
        <v>45</v>
      </c>
      <c r="B21" s="280" t="s">
        <v>571</v>
      </c>
      <c r="C21" s="280" t="n">
        <v>1</v>
      </c>
      <c r="D21" s="280" t="n">
        <v>0</v>
      </c>
      <c r="E21" s="280" t="n">
        <v>0</v>
      </c>
      <c r="F21" s="280" t="n">
        <v>0</v>
      </c>
      <c r="G21" s="280" t="n">
        <v>0</v>
      </c>
      <c r="H21" s="280" t="n">
        <v>1</v>
      </c>
      <c r="I21" s="280" t="n">
        <v>0</v>
      </c>
      <c r="J21" s="280" t="n">
        <v>1</v>
      </c>
      <c r="K21" s="280" t="s">
        <v>16</v>
      </c>
      <c r="L21" s="280" t="s">
        <v>519</v>
      </c>
      <c r="M21" s="280" t="s">
        <v>522</v>
      </c>
      <c r="N21" s="280"/>
      <c r="O21" s="280" t="s">
        <v>572</v>
      </c>
      <c r="P21" s="280" t="s">
        <v>573</v>
      </c>
      <c r="Q21" s="280" t="s">
        <v>574</v>
      </c>
      <c r="R21" s="280"/>
      <c r="S21" s="280"/>
      <c r="T21" s="280"/>
      <c r="U21" s="280" t="s">
        <v>520</v>
      </c>
      <c r="V21" s="280"/>
      <c r="W21" s="280"/>
      <c r="X21" s="280"/>
    </row>
    <row r="22" customFormat="false" ht="77.6" hidden="false" customHeight="false" outlineLevel="0" collapsed="false">
      <c r="A22" s="280" t="s">
        <v>46</v>
      </c>
      <c r="B22" s="280" t="s">
        <v>575</v>
      </c>
      <c r="C22" s="280" t="n">
        <v>1</v>
      </c>
      <c r="D22" s="280" t="n">
        <v>0</v>
      </c>
      <c r="E22" s="280" t="n">
        <v>0</v>
      </c>
      <c r="F22" s="280" t="n">
        <v>0</v>
      </c>
      <c r="G22" s="280" t="n">
        <v>0</v>
      </c>
      <c r="H22" s="280" t="n">
        <v>1</v>
      </c>
      <c r="I22" s="280" t="n">
        <v>0</v>
      </c>
      <c r="J22" s="280" t="n">
        <v>1</v>
      </c>
      <c r="K22" s="280" t="s">
        <v>16</v>
      </c>
      <c r="L22" s="280" t="s">
        <v>519</v>
      </c>
      <c r="M22" s="280" t="s">
        <v>522</v>
      </c>
      <c r="N22" s="280"/>
      <c r="O22" s="280" t="s">
        <v>576</v>
      </c>
      <c r="P22" s="280" t="s">
        <v>577</v>
      </c>
      <c r="Q22" s="280" t="s">
        <v>578</v>
      </c>
      <c r="R22" s="280"/>
      <c r="S22" s="280"/>
      <c r="T22" s="280"/>
      <c r="U22" s="280" t="s">
        <v>520</v>
      </c>
      <c r="V22" s="280"/>
      <c r="W22" s="280"/>
      <c r="X22" s="280"/>
    </row>
    <row r="23" customFormat="false" ht="93.75" hidden="false" customHeight="true" outlineLevel="0" collapsed="false">
      <c r="A23" s="280" t="s">
        <v>47</v>
      </c>
      <c r="B23" s="280" t="s">
        <v>579</v>
      </c>
      <c r="C23" s="280" t="n">
        <v>1</v>
      </c>
      <c r="D23" s="280" t="n">
        <v>0</v>
      </c>
      <c r="E23" s="280" t="n">
        <v>0</v>
      </c>
      <c r="F23" s="280" t="n">
        <v>0</v>
      </c>
      <c r="G23" s="280" t="n">
        <v>0</v>
      </c>
      <c r="H23" s="280" t="n">
        <v>1</v>
      </c>
      <c r="I23" s="280" t="n">
        <v>0</v>
      </c>
      <c r="J23" s="280" t="n">
        <v>0</v>
      </c>
      <c r="K23" s="280" t="s">
        <v>16</v>
      </c>
      <c r="L23" s="280" t="s">
        <v>519</v>
      </c>
      <c r="M23" s="280"/>
      <c r="N23" s="280"/>
      <c r="O23" s="280"/>
      <c r="P23" s="280" t="s">
        <v>580</v>
      </c>
      <c r="Q23" s="280" t="s">
        <v>581</v>
      </c>
      <c r="R23" s="280"/>
      <c r="S23" s="280"/>
      <c r="T23" s="280"/>
      <c r="U23" s="280" t="s">
        <v>520</v>
      </c>
      <c r="V23" s="280"/>
      <c r="W23" s="280"/>
      <c r="X23" s="280"/>
    </row>
    <row r="24" customFormat="false" ht="81.75" hidden="false" customHeight="true" outlineLevel="0" collapsed="false">
      <c r="A24" s="280" t="s">
        <v>48</v>
      </c>
      <c r="B24" s="280" t="s">
        <v>582</v>
      </c>
      <c r="C24" s="280" t="n">
        <v>1</v>
      </c>
      <c r="D24" s="280" t="n">
        <v>0</v>
      </c>
      <c r="E24" s="280" t="n">
        <v>0</v>
      </c>
      <c r="F24" s="280" t="n">
        <v>0</v>
      </c>
      <c r="G24" s="280" t="n">
        <v>0</v>
      </c>
      <c r="H24" s="280" t="n">
        <v>0</v>
      </c>
      <c r="I24" s="280" t="n">
        <v>0</v>
      </c>
      <c r="J24" s="280" t="n">
        <v>1</v>
      </c>
      <c r="K24" s="280" t="s">
        <v>16</v>
      </c>
      <c r="L24" s="280" t="s">
        <v>519</v>
      </c>
      <c r="M24" s="280"/>
      <c r="N24" s="280"/>
      <c r="O24" s="280" t="s">
        <v>583</v>
      </c>
      <c r="P24" s="282" t="s">
        <v>584</v>
      </c>
      <c r="Q24" s="282" t="s">
        <v>585</v>
      </c>
      <c r="R24" s="282"/>
      <c r="S24" s="280"/>
      <c r="T24" s="280"/>
      <c r="U24" s="280" t="s">
        <v>520</v>
      </c>
      <c r="V24" s="280"/>
      <c r="W24" s="280"/>
      <c r="X24" s="280"/>
    </row>
    <row r="25" customFormat="false" ht="39.55" hidden="false" customHeight="false" outlineLevel="0" collapsed="false">
      <c r="A25" s="280" t="s">
        <v>52</v>
      </c>
      <c r="B25" s="280" t="s">
        <v>586</v>
      </c>
      <c r="C25" s="280" t="n">
        <v>0</v>
      </c>
      <c r="D25" s="280" t="n">
        <v>1</v>
      </c>
      <c r="E25" s="280" t="n">
        <v>0</v>
      </c>
      <c r="F25" s="280" t="n">
        <v>0</v>
      </c>
      <c r="G25" s="280" t="n">
        <v>0</v>
      </c>
      <c r="H25" s="280" t="n">
        <v>0</v>
      </c>
      <c r="I25" s="280" t="n">
        <v>0</v>
      </c>
      <c r="J25" s="280" t="n">
        <v>1</v>
      </c>
      <c r="K25" s="280"/>
      <c r="L25" s="280" t="s">
        <v>587</v>
      </c>
      <c r="M25" s="280"/>
      <c r="N25" s="280"/>
      <c r="O25" s="280"/>
      <c r="P25" s="280"/>
      <c r="Q25" s="280"/>
      <c r="R25" s="280"/>
      <c r="S25" s="280"/>
      <c r="T25" s="280"/>
      <c r="U25" s="280" t="s">
        <v>31</v>
      </c>
      <c r="V25" s="280"/>
      <c r="W25" s="280" t="s">
        <v>538</v>
      </c>
      <c r="X25" s="280" t="n">
        <f aca="false">IF($W25="Critical Importance",20,IF($W25="Minor Importance",5,10))</f>
        <v>20</v>
      </c>
    </row>
    <row r="26" customFormat="false" ht="39.55" hidden="false" customHeight="false" outlineLevel="0" collapsed="false">
      <c r="A26" s="280" t="s">
        <v>54</v>
      </c>
      <c r="B26" s="280" t="s">
        <v>588</v>
      </c>
      <c r="C26" s="280" t="n">
        <v>0</v>
      </c>
      <c r="D26" s="280" t="n">
        <v>1</v>
      </c>
      <c r="E26" s="280" t="n">
        <v>0</v>
      </c>
      <c r="F26" s="280" t="n">
        <v>0</v>
      </c>
      <c r="G26" s="280" t="n">
        <v>0</v>
      </c>
      <c r="H26" s="280" t="n">
        <v>0</v>
      </c>
      <c r="I26" s="280" t="n">
        <v>0</v>
      </c>
      <c r="J26" s="280" t="n">
        <v>1</v>
      </c>
      <c r="K26" s="280"/>
      <c r="L26" s="280" t="s">
        <v>587</v>
      </c>
      <c r="M26" s="280"/>
      <c r="N26" s="280"/>
      <c r="O26" s="280"/>
      <c r="P26" s="280"/>
      <c r="Q26" s="280"/>
      <c r="R26" s="280"/>
      <c r="S26" s="280"/>
      <c r="T26" s="280"/>
      <c r="U26" s="280" t="s">
        <v>31</v>
      </c>
      <c r="V26" s="280"/>
      <c r="W26" s="280" t="s">
        <v>538</v>
      </c>
      <c r="X26" s="280" t="n">
        <f aca="false">IF($W26="Critical Importance",20,IF($W26="Minor Importance",5,10))</f>
        <v>20</v>
      </c>
    </row>
    <row r="27" customFormat="false" ht="128.25" hidden="false" customHeight="false" outlineLevel="0" collapsed="false">
      <c r="A27" s="280" t="s">
        <v>55</v>
      </c>
      <c r="B27" s="280" t="s">
        <v>589</v>
      </c>
      <c r="C27" s="280" t="n">
        <v>0</v>
      </c>
      <c r="D27" s="280" t="n">
        <v>1</v>
      </c>
      <c r="E27" s="280" t="n">
        <v>0</v>
      </c>
      <c r="F27" s="280" t="n">
        <v>0</v>
      </c>
      <c r="G27" s="280" t="n">
        <v>0</v>
      </c>
      <c r="H27" s="280" t="n">
        <v>0</v>
      </c>
      <c r="I27" s="280" t="n">
        <v>0</v>
      </c>
      <c r="J27" s="280" t="n">
        <v>1</v>
      </c>
      <c r="K27" s="280"/>
      <c r="L27" s="280" t="s">
        <v>587</v>
      </c>
      <c r="M27" s="280" t="s">
        <v>22</v>
      </c>
      <c r="N27" s="280"/>
      <c r="O27" s="280"/>
      <c r="P27" s="280" t="s">
        <v>590</v>
      </c>
      <c r="Q27" s="280" t="s">
        <v>591</v>
      </c>
      <c r="R27" s="280"/>
      <c r="S27" s="280" t="s">
        <v>592</v>
      </c>
      <c r="T27" s="280" t="s">
        <v>593</v>
      </c>
      <c r="U27" s="280" t="s">
        <v>31</v>
      </c>
      <c r="V27" s="280" t="s">
        <v>522</v>
      </c>
      <c r="W27" s="280" t="s">
        <v>594</v>
      </c>
      <c r="X27" s="280" t="n">
        <f aca="false">IF($W27="Critical Importance",20,IF($W27="Minor Importance",5,10))</f>
        <v>10</v>
      </c>
    </row>
    <row r="28" customFormat="false" ht="242.25" hidden="false" customHeight="false" outlineLevel="0" collapsed="false">
      <c r="A28" s="280" t="s">
        <v>56</v>
      </c>
      <c r="B28" s="280" t="s">
        <v>595</v>
      </c>
      <c r="C28" s="280" t="n">
        <v>0</v>
      </c>
      <c r="D28" s="280" t="n">
        <v>1</v>
      </c>
      <c r="E28" s="280" t="n">
        <v>0</v>
      </c>
      <c r="F28" s="280" t="n">
        <v>0</v>
      </c>
      <c r="G28" s="280" t="n">
        <v>0</v>
      </c>
      <c r="H28" s="280" t="n">
        <v>0</v>
      </c>
      <c r="I28" s="280" t="n">
        <v>0</v>
      </c>
      <c r="J28" s="280" t="n">
        <v>1</v>
      </c>
      <c r="K28" s="280"/>
      <c r="L28" s="280" t="s">
        <v>587</v>
      </c>
      <c r="M28" s="280" t="s">
        <v>22</v>
      </c>
      <c r="N28" s="280"/>
      <c r="O28" s="280"/>
      <c r="P28" s="280" t="s">
        <v>596</v>
      </c>
      <c r="Q28" s="280" t="s">
        <v>597</v>
      </c>
      <c r="R28" s="280"/>
      <c r="S28" s="280" t="s">
        <v>598</v>
      </c>
      <c r="T28" s="280" t="s">
        <v>599</v>
      </c>
      <c r="U28" s="280" t="s">
        <v>31</v>
      </c>
      <c r="V28" s="280" t="s">
        <v>522</v>
      </c>
      <c r="W28" s="280" t="s">
        <v>594</v>
      </c>
      <c r="X28" s="280" t="n">
        <f aca="false">IF($W28="Critical Importance",20,IF($W28="Minor Importance",5,10))</f>
        <v>10</v>
      </c>
    </row>
    <row r="29" customFormat="false" ht="191.75" hidden="false" customHeight="false" outlineLevel="0" collapsed="false">
      <c r="A29" s="280" t="s">
        <v>57</v>
      </c>
      <c r="B29" s="280" t="s">
        <v>600</v>
      </c>
      <c r="C29" s="280" t="n">
        <v>0</v>
      </c>
      <c r="D29" s="280" t="n">
        <v>1</v>
      </c>
      <c r="E29" s="280" t="n">
        <v>0</v>
      </c>
      <c r="F29" s="280" t="n">
        <v>0</v>
      </c>
      <c r="G29" s="280" t="n">
        <v>0</v>
      </c>
      <c r="H29" s="280" t="n">
        <v>0</v>
      </c>
      <c r="I29" s="280" t="n">
        <v>0</v>
      </c>
      <c r="J29" s="280" t="n">
        <v>1</v>
      </c>
      <c r="K29" s="280"/>
      <c r="L29" s="280" t="s">
        <v>587</v>
      </c>
      <c r="M29" s="280" t="s">
        <v>22</v>
      </c>
      <c r="N29" s="280"/>
      <c r="O29" s="280"/>
      <c r="P29" s="280" t="s">
        <v>601</v>
      </c>
      <c r="Q29" s="280" t="s">
        <v>602</v>
      </c>
      <c r="R29" s="280"/>
      <c r="S29" s="280" t="s">
        <v>603</v>
      </c>
      <c r="T29" s="280" t="s">
        <v>604</v>
      </c>
      <c r="U29" s="280" t="s">
        <v>31</v>
      </c>
      <c r="V29" s="280" t="s">
        <v>522</v>
      </c>
      <c r="W29" s="280" t="s">
        <v>594</v>
      </c>
      <c r="X29" s="280" t="n">
        <f aca="false">IF($W29="Critical Importance",20,IF($W29="Minor Importance",5,10))</f>
        <v>10</v>
      </c>
    </row>
    <row r="30" customFormat="false" ht="191.75" hidden="false" customHeight="false" outlineLevel="0" collapsed="false">
      <c r="A30" s="280" t="s">
        <v>59</v>
      </c>
      <c r="B30" s="280" t="s">
        <v>605</v>
      </c>
      <c r="C30" s="280" t="n">
        <v>0</v>
      </c>
      <c r="D30" s="280" t="n">
        <v>1</v>
      </c>
      <c r="E30" s="280" t="n">
        <v>0</v>
      </c>
      <c r="F30" s="280" t="n">
        <v>0</v>
      </c>
      <c r="G30" s="280" t="n">
        <v>0</v>
      </c>
      <c r="H30" s="280" t="n">
        <v>0</v>
      </c>
      <c r="I30" s="280" t="n">
        <v>0</v>
      </c>
      <c r="J30" s="280" t="n">
        <v>1</v>
      </c>
      <c r="K30" s="280"/>
      <c r="L30" s="280" t="s">
        <v>587</v>
      </c>
      <c r="M30" s="280" t="s">
        <v>22</v>
      </c>
      <c r="N30" s="280"/>
      <c r="O30" s="280"/>
      <c r="P30" s="280" t="s">
        <v>606</v>
      </c>
      <c r="Q30" s="280" t="s">
        <v>607</v>
      </c>
      <c r="R30" s="280"/>
      <c r="S30" s="280" t="s">
        <v>608</v>
      </c>
      <c r="T30" s="280" t="s">
        <v>604</v>
      </c>
      <c r="U30" s="280" t="s">
        <v>31</v>
      </c>
      <c r="V30" s="280" t="s">
        <v>522</v>
      </c>
      <c r="W30" s="280" t="s">
        <v>594</v>
      </c>
      <c r="X30" s="280" t="n">
        <f aca="false">IF($W30="Critical Importance",20,IF($W30="Minor Importance",5,10))</f>
        <v>10</v>
      </c>
    </row>
    <row r="31" customFormat="false" ht="255.2" hidden="false" customHeight="false" outlineLevel="0" collapsed="false">
      <c r="A31" s="280" t="s">
        <v>61</v>
      </c>
      <c r="B31" s="280" t="s">
        <v>609</v>
      </c>
      <c r="C31" s="280" t="n">
        <v>0</v>
      </c>
      <c r="D31" s="280" t="n">
        <v>1</v>
      </c>
      <c r="E31" s="280" t="n">
        <v>0</v>
      </c>
      <c r="F31" s="280" t="n">
        <v>0</v>
      </c>
      <c r="G31" s="280" t="n">
        <v>0</v>
      </c>
      <c r="H31" s="280" t="n">
        <v>0</v>
      </c>
      <c r="I31" s="280" t="n">
        <v>0</v>
      </c>
      <c r="J31" s="280" t="n">
        <v>1</v>
      </c>
      <c r="K31" s="280"/>
      <c r="L31" s="280" t="s">
        <v>587</v>
      </c>
      <c r="M31" s="280" t="s">
        <v>22</v>
      </c>
      <c r="N31" s="280"/>
      <c r="O31" s="280"/>
      <c r="P31" s="280" t="s">
        <v>610</v>
      </c>
      <c r="Q31" s="280" t="s">
        <v>611</v>
      </c>
      <c r="R31" s="280"/>
      <c r="S31" s="280" t="s">
        <v>612</v>
      </c>
      <c r="T31" s="280" t="s">
        <v>613</v>
      </c>
      <c r="U31" s="280" t="s">
        <v>31</v>
      </c>
      <c r="V31" s="280" t="s">
        <v>522</v>
      </c>
      <c r="W31" s="280" t="s">
        <v>594</v>
      </c>
      <c r="X31" s="280" t="n">
        <f aca="false">IF($W31="Critical Importance",20,IF($W31="Minor Importance",5,10))</f>
        <v>10</v>
      </c>
    </row>
    <row r="32" customFormat="false" ht="64.9" hidden="false" customHeight="false" outlineLevel="0" collapsed="false">
      <c r="A32" s="282" t="s">
        <v>213</v>
      </c>
      <c r="B32" s="280" t="s">
        <v>614</v>
      </c>
      <c r="C32" s="280" t="n">
        <v>0</v>
      </c>
      <c r="D32" s="280" t="n">
        <v>0</v>
      </c>
      <c r="E32" s="280" t="n">
        <v>0</v>
      </c>
      <c r="F32" s="280" t="n">
        <v>0</v>
      </c>
      <c r="G32" s="280" t="n">
        <v>1</v>
      </c>
      <c r="H32" s="280" t="n">
        <v>0</v>
      </c>
      <c r="I32" s="280" t="n">
        <v>0</v>
      </c>
      <c r="J32" s="280" t="n">
        <v>0</v>
      </c>
      <c r="K32" s="280" t="s">
        <v>16</v>
      </c>
      <c r="L32" s="280" t="s">
        <v>519</v>
      </c>
      <c r="M32" s="280" t="s">
        <v>522</v>
      </c>
      <c r="N32" s="280" t="s">
        <v>615</v>
      </c>
      <c r="O32" s="280"/>
      <c r="P32" s="280"/>
      <c r="Q32" s="280"/>
      <c r="R32" s="280"/>
      <c r="S32" s="280"/>
      <c r="T32" s="280"/>
      <c r="U32" s="280" t="s">
        <v>520</v>
      </c>
      <c r="V32" s="280"/>
      <c r="W32" s="280"/>
      <c r="X32" s="280"/>
    </row>
    <row r="33" customFormat="false" ht="64.9" hidden="false" customHeight="false" outlineLevel="0" collapsed="false">
      <c r="A33" s="282" t="s">
        <v>215</v>
      </c>
      <c r="B33" s="280" t="s">
        <v>616</v>
      </c>
      <c r="C33" s="280" t="n">
        <v>0</v>
      </c>
      <c r="D33" s="280" t="n">
        <v>0</v>
      </c>
      <c r="E33" s="280" t="n">
        <v>0</v>
      </c>
      <c r="F33" s="280" t="n">
        <v>0</v>
      </c>
      <c r="G33" s="280" t="n">
        <v>1</v>
      </c>
      <c r="H33" s="280" t="n">
        <v>0</v>
      </c>
      <c r="I33" s="280" t="n">
        <v>0</v>
      </c>
      <c r="J33" s="280" t="n">
        <v>0</v>
      </c>
      <c r="K33" s="280" t="s">
        <v>16</v>
      </c>
      <c r="L33" s="280" t="s">
        <v>519</v>
      </c>
      <c r="M33" s="280" t="s">
        <v>522</v>
      </c>
      <c r="N33" s="280" t="s">
        <v>615</v>
      </c>
      <c r="O33" s="280"/>
      <c r="P33" s="280"/>
      <c r="Q33" s="280"/>
      <c r="R33" s="280"/>
      <c r="S33" s="280"/>
      <c r="T33" s="280"/>
      <c r="U33" s="280" t="s">
        <v>520</v>
      </c>
      <c r="V33" s="280"/>
      <c r="W33" s="280"/>
      <c r="X33" s="280"/>
    </row>
    <row r="34" customFormat="false" ht="64.9" hidden="false" customHeight="false" outlineLevel="0" collapsed="false">
      <c r="A34" s="282" t="s">
        <v>216</v>
      </c>
      <c r="B34" s="280" t="s">
        <v>617</v>
      </c>
      <c r="C34" s="280" t="n">
        <v>0</v>
      </c>
      <c r="D34" s="280" t="n">
        <v>0</v>
      </c>
      <c r="E34" s="280" t="n">
        <v>0</v>
      </c>
      <c r="F34" s="280" t="n">
        <v>0</v>
      </c>
      <c r="G34" s="280" t="n">
        <v>1</v>
      </c>
      <c r="H34" s="280" t="n">
        <v>0</v>
      </c>
      <c r="I34" s="280" t="n">
        <v>0</v>
      </c>
      <c r="J34" s="280" t="n">
        <v>0</v>
      </c>
      <c r="K34" s="280" t="s">
        <v>16</v>
      </c>
      <c r="L34" s="280" t="s">
        <v>519</v>
      </c>
      <c r="M34" s="280" t="s">
        <v>522</v>
      </c>
      <c r="N34" s="280" t="s">
        <v>615</v>
      </c>
      <c r="O34" s="280"/>
      <c r="P34" s="280"/>
      <c r="Q34" s="280"/>
      <c r="R34" s="280"/>
      <c r="S34" s="280"/>
      <c r="T34" s="280"/>
      <c r="U34" s="280" t="s">
        <v>520</v>
      </c>
      <c r="V34" s="280"/>
      <c r="W34" s="280"/>
      <c r="X34" s="280"/>
    </row>
    <row r="35" customFormat="false" ht="64.9" hidden="false" customHeight="false" outlineLevel="0" collapsed="false">
      <c r="A35" s="282" t="s">
        <v>218</v>
      </c>
      <c r="B35" s="280" t="s">
        <v>618</v>
      </c>
      <c r="C35" s="280" t="n">
        <v>0</v>
      </c>
      <c r="D35" s="280" t="n">
        <v>0</v>
      </c>
      <c r="E35" s="280" t="n">
        <v>0</v>
      </c>
      <c r="F35" s="280" t="n">
        <v>0</v>
      </c>
      <c r="G35" s="280" t="n">
        <v>1</v>
      </c>
      <c r="H35" s="280" t="n">
        <v>0</v>
      </c>
      <c r="I35" s="280" t="n">
        <v>0</v>
      </c>
      <c r="J35" s="280" t="n">
        <v>0</v>
      </c>
      <c r="K35" s="280" t="s">
        <v>16</v>
      </c>
      <c r="L35" s="280" t="s">
        <v>519</v>
      </c>
      <c r="M35" s="280" t="s">
        <v>522</v>
      </c>
      <c r="N35" s="280" t="s">
        <v>615</v>
      </c>
      <c r="O35" s="280"/>
      <c r="P35" s="280"/>
      <c r="Q35" s="280"/>
      <c r="R35" s="280"/>
      <c r="S35" s="280"/>
      <c r="T35" s="280"/>
      <c r="U35" s="280" t="s">
        <v>520</v>
      </c>
      <c r="V35" s="280"/>
      <c r="W35" s="280"/>
      <c r="X35" s="280"/>
    </row>
    <row r="36" customFormat="false" ht="64.9" hidden="false" customHeight="false" outlineLevel="0" collapsed="false">
      <c r="A36" s="282" t="s">
        <v>219</v>
      </c>
      <c r="B36" s="280" t="s">
        <v>619</v>
      </c>
      <c r="C36" s="280" t="n">
        <v>0</v>
      </c>
      <c r="D36" s="280" t="n">
        <v>0</v>
      </c>
      <c r="E36" s="280" t="n">
        <v>0</v>
      </c>
      <c r="F36" s="280" t="n">
        <v>0</v>
      </c>
      <c r="G36" s="280" t="n">
        <v>1</v>
      </c>
      <c r="H36" s="280" t="n">
        <v>0</v>
      </c>
      <c r="I36" s="280" t="n">
        <v>0</v>
      </c>
      <c r="J36" s="280" t="n">
        <v>0</v>
      </c>
      <c r="K36" s="280"/>
      <c r="L36" s="280" t="s">
        <v>519</v>
      </c>
      <c r="M36" s="280" t="s">
        <v>522</v>
      </c>
      <c r="N36" s="280" t="s">
        <v>615</v>
      </c>
      <c r="O36" s="280" t="s">
        <v>620</v>
      </c>
      <c r="P36" s="280" t="s">
        <v>620</v>
      </c>
      <c r="Q36" s="280" t="s">
        <v>620</v>
      </c>
      <c r="R36" s="280"/>
      <c r="S36" s="280"/>
      <c r="T36" s="280"/>
      <c r="U36" s="280" t="s">
        <v>520</v>
      </c>
      <c r="V36" s="280"/>
      <c r="W36" s="280"/>
      <c r="X36" s="280"/>
    </row>
    <row r="37" customFormat="false" ht="305.95" hidden="false" customHeight="false" outlineLevel="0" collapsed="false">
      <c r="A37" s="282" t="s">
        <v>221</v>
      </c>
      <c r="B37" s="280" t="s">
        <v>621</v>
      </c>
      <c r="C37" s="280" t="n">
        <v>0</v>
      </c>
      <c r="D37" s="280" t="n">
        <v>0</v>
      </c>
      <c r="E37" s="280" t="n">
        <v>0</v>
      </c>
      <c r="F37" s="280" t="n">
        <v>0</v>
      </c>
      <c r="G37" s="280" t="n">
        <v>1</v>
      </c>
      <c r="H37" s="280" t="n">
        <v>0</v>
      </c>
      <c r="I37" s="280" t="n">
        <v>0</v>
      </c>
      <c r="J37" s="280" t="n">
        <v>1</v>
      </c>
      <c r="K37" s="280"/>
      <c r="L37" s="280" t="s">
        <v>622</v>
      </c>
      <c r="M37" s="280" t="s">
        <v>22</v>
      </c>
      <c r="N37" s="280" t="s">
        <v>615</v>
      </c>
      <c r="O37" s="280" t="s">
        <v>623</v>
      </c>
      <c r="P37" s="280" t="s">
        <v>624</v>
      </c>
      <c r="Q37" s="280" t="s">
        <v>625</v>
      </c>
      <c r="R37" s="280"/>
      <c r="S37" s="280" t="s">
        <v>626</v>
      </c>
      <c r="T37" s="280" t="s">
        <v>627</v>
      </c>
      <c r="U37" s="280" t="s">
        <v>31</v>
      </c>
      <c r="V37" s="280" t="s">
        <v>522</v>
      </c>
      <c r="W37" s="280" t="s">
        <v>538</v>
      </c>
      <c r="X37" s="280" t="n">
        <f aca="false">IF($W37="Critical Importance",20,IF($W37="Minor Importance",5,10))</f>
        <v>20</v>
      </c>
    </row>
    <row r="38" customFormat="false" ht="80.25" hidden="false" customHeight="true" outlineLevel="0" collapsed="false">
      <c r="A38" s="282" t="s">
        <v>223</v>
      </c>
      <c r="B38" s="280" t="s">
        <v>628</v>
      </c>
      <c r="C38" s="280" t="n">
        <v>0</v>
      </c>
      <c r="D38" s="280" t="n">
        <v>0</v>
      </c>
      <c r="E38" s="280" t="n">
        <v>0</v>
      </c>
      <c r="F38" s="280" t="n">
        <v>0</v>
      </c>
      <c r="G38" s="280" t="n">
        <v>1</v>
      </c>
      <c r="H38" s="280" t="n">
        <v>0</v>
      </c>
      <c r="I38" s="280" t="n">
        <v>0</v>
      </c>
      <c r="J38" s="280" t="n">
        <v>0</v>
      </c>
      <c r="K38" s="280"/>
      <c r="L38" s="280" t="s">
        <v>622</v>
      </c>
      <c r="M38" s="280"/>
      <c r="N38" s="280" t="s">
        <v>615</v>
      </c>
      <c r="O38" s="280"/>
      <c r="P38" s="280"/>
      <c r="Q38" s="280"/>
      <c r="R38" s="280"/>
      <c r="S38" s="280" t="s">
        <v>629</v>
      </c>
      <c r="T38" s="280"/>
      <c r="U38" s="280" t="s">
        <v>31</v>
      </c>
      <c r="V38" s="280"/>
      <c r="W38" s="280" t="s">
        <v>538</v>
      </c>
      <c r="X38" s="280" t="n">
        <f aca="false">IF($W38="Critical Importance",20,IF($W38="Minor Importance",5,10))</f>
        <v>20</v>
      </c>
    </row>
    <row r="39" customFormat="false" ht="217.15" hidden="false" customHeight="false" outlineLevel="0" collapsed="false">
      <c r="A39" s="282" t="s">
        <v>224</v>
      </c>
      <c r="B39" s="280" t="s">
        <v>630</v>
      </c>
      <c r="C39" s="280" t="n">
        <v>0</v>
      </c>
      <c r="D39" s="280" t="n">
        <v>0</v>
      </c>
      <c r="E39" s="280" t="n">
        <v>0</v>
      </c>
      <c r="F39" s="280" t="n">
        <v>0</v>
      </c>
      <c r="G39" s="280" t="n">
        <v>1</v>
      </c>
      <c r="H39" s="280" t="n">
        <v>0</v>
      </c>
      <c r="I39" s="280" t="n">
        <v>0</v>
      </c>
      <c r="J39" s="280" t="n">
        <v>0</v>
      </c>
      <c r="K39" s="280"/>
      <c r="L39" s="280" t="s">
        <v>622</v>
      </c>
      <c r="M39" s="280"/>
      <c r="N39" s="280" t="s">
        <v>615</v>
      </c>
      <c r="O39" s="280" t="s">
        <v>631</v>
      </c>
      <c r="P39" s="280" t="s">
        <v>631</v>
      </c>
      <c r="Q39" s="280" t="s">
        <v>631</v>
      </c>
      <c r="R39" s="280"/>
      <c r="S39" s="280" t="s">
        <v>629</v>
      </c>
      <c r="T39" s="280"/>
      <c r="U39" s="280" t="s">
        <v>31</v>
      </c>
      <c r="V39" s="280"/>
      <c r="W39" s="280" t="s">
        <v>538</v>
      </c>
      <c r="X39" s="280" t="n">
        <f aca="false">IF($W39="Critical Importance",20,IF($W39="Minor Importance",5,10))</f>
        <v>20</v>
      </c>
    </row>
    <row r="40" customFormat="false" ht="128.35" hidden="false" customHeight="false" outlineLevel="0" collapsed="false">
      <c r="A40" s="282" t="s">
        <v>227</v>
      </c>
      <c r="B40" s="280" t="s">
        <v>632</v>
      </c>
      <c r="C40" s="280" t="n">
        <v>0</v>
      </c>
      <c r="D40" s="280" t="n">
        <v>0</v>
      </c>
      <c r="E40" s="280" t="n">
        <v>0</v>
      </c>
      <c r="F40" s="280" t="n">
        <v>0</v>
      </c>
      <c r="G40" s="280" t="n">
        <v>1</v>
      </c>
      <c r="H40" s="280" t="n">
        <v>0</v>
      </c>
      <c r="I40" s="280" t="n">
        <v>0</v>
      </c>
      <c r="J40" s="280" t="n">
        <v>0</v>
      </c>
      <c r="K40" s="280"/>
      <c r="L40" s="280" t="s">
        <v>622</v>
      </c>
      <c r="M40" s="280" t="s">
        <v>522</v>
      </c>
      <c r="N40" s="280" t="s">
        <v>615</v>
      </c>
      <c r="O40" s="280" t="s">
        <v>633</v>
      </c>
      <c r="P40" s="280" t="s">
        <v>634</v>
      </c>
      <c r="Q40" s="280" t="s">
        <v>635</v>
      </c>
      <c r="R40" s="280"/>
      <c r="S40" s="280"/>
      <c r="T40" s="280" t="s">
        <v>636</v>
      </c>
      <c r="U40" s="280" t="s">
        <v>31</v>
      </c>
      <c r="V40" s="280" t="s">
        <v>522</v>
      </c>
      <c r="W40" s="280" t="s">
        <v>538</v>
      </c>
      <c r="X40" s="280" t="n">
        <f aca="false">IF($W40="Critical Importance",20,IF($W40="Minor Importance",5,10))</f>
        <v>20</v>
      </c>
    </row>
    <row r="41" customFormat="false" ht="242.5" hidden="false" customHeight="false" outlineLevel="0" collapsed="false">
      <c r="A41" s="282" t="s">
        <v>229</v>
      </c>
      <c r="B41" s="280" t="s">
        <v>637</v>
      </c>
      <c r="C41" s="280" t="n">
        <v>0</v>
      </c>
      <c r="D41" s="280" t="n">
        <v>0</v>
      </c>
      <c r="E41" s="280" t="n">
        <v>0</v>
      </c>
      <c r="F41" s="280" t="n">
        <v>0</v>
      </c>
      <c r="G41" s="280" t="n">
        <v>1</v>
      </c>
      <c r="H41" s="280" t="n">
        <v>0</v>
      </c>
      <c r="I41" s="280" t="n">
        <v>0</v>
      </c>
      <c r="J41" s="280" t="n">
        <v>1</v>
      </c>
      <c r="K41" s="280"/>
      <c r="L41" s="280" t="s">
        <v>622</v>
      </c>
      <c r="M41" s="280" t="s">
        <v>22</v>
      </c>
      <c r="N41" s="280" t="s">
        <v>615</v>
      </c>
      <c r="O41" s="280" t="s">
        <v>638</v>
      </c>
      <c r="P41" s="280" t="s">
        <v>639</v>
      </c>
      <c r="Q41" s="280" t="s">
        <v>640</v>
      </c>
      <c r="R41" s="280"/>
      <c r="S41" s="280" t="s">
        <v>641</v>
      </c>
      <c r="T41" s="280" t="s">
        <v>642</v>
      </c>
      <c r="U41" s="280" t="s">
        <v>31</v>
      </c>
      <c r="V41" s="280" t="s">
        <v>522</v>
      </c>
      <c r="W41" s="280" t="s">
        <v>594</v>
      </c>
      <c r="X41" s="280" t="n">
        <f aca="false">IF($W41="Critical Importance",20,IF($W41="Minor Importance",5,10))</f>
        <v>10</v>
      </c>
    </row>
    <row r="42" customFormat="false" ht="179.1" hidden="false" customHeight="false" outlineLevel="0" collapsed="false">
      <c r="A42" s="282" t="s">
        <v>231</v>
      </c>
      <c r="B42" s="280" t="s">
        <v>643</v>
      </c>
      <c r="C42" s="280" t="n">
        <v>0</v>
      </c>
      <c r="D42" s="280" t="n">
        <v>0</v>
      </c>
      <c r="E42" s="280" t="n">
        <v>0</v>
      </c>
      <c r="F42" s="280" t="n">
        <v>0</v>
      </c>
      <c r="G42" s="280" t="n">
        <v>1</v>
      </c>
      <c r="H42" s="280" t="n">
        <v>0</v>
      </c>
      <c r="I42" s="280" t="n">
        <v>0</v>
      </c>
      <c r="J42" s="280" t="n">
        <v>0</v>
      </c>
      <c r="K42" s="280"/>
      <c r="L42" s="280" t="s">
        <v>622</v>
      </c>
      <c r="M42" s="280" t="s">
        <v>522</v>
      </c>
      <c r="N42" s="280" t="s">
        <v>615</v>
      </c>
      <c r="O42" s="280" t="s">
        <v>644</v>
      </c>
      <c r="P42" s="280" t="s">
        <v>645</v>
      </c>
      <c r="Q42" s="280" t="s">
        <v>646</v>
      </c>
      <c r="R42" s="280"/>
      <c r="S42" s="280" t="s">
        <v>647</v>
      </c>
      <c r="T42" s="280"/>
      <c r="U42" s="280" t="s">
        <v>31</v>
      </c>
      <c r="V42" s="280" t="s">
        <v>522</v>
      </c>
      <c r="W42" s="280" t="s">
        <v>594</v>
      </c>
      <c r="X42" s="280" t="n">
        <f aca="false">IF($W42="Critical Importance",20,IF($W42="Minor Importance",5,10))</f>
        <v>10</v>
      </c>
    </row>
    <row r="43" customFormat="false" ht="369.4" hidden="false" customHeight="false" outlineLevel="0" collapsed="false">
      <c r="A43" s="282" t="s">
        <v>234</v>
      </c>
      <c r="B43" s="280" t="s">
        <v>648</v>
      </c>
      <c r="C43" s="280" t="n">
        <v>0</v>
      </c>
      <c r="D43" s="280" t="n">
        <v>0</v>
      </c>
      <c r="E43" s="280" t="n">
        <v>0</v>
      </c>
      <c r="F43" s="280" t="n">
        <v>0</v>
      </c>
      <c r="G43" s="280" t="n">
        <v>1</v>
      </c>
      <c r="H43" s="280" t="n">
        <v>0</v>
      </c>
      <c r="I43" s="280" t="n">
        <v>0</v>
      </c>
      <c r="J43" s="280" t="n">
        <v>0</v>
      </c>
      <c r="K43" s="280"/>
      <c r="L43" s="280" t="s">
        <v>622</v>
      </c>
      <c r="M43" s="280" t="s">
        <v>522</v>
      </c>
      <c r="N43" s="280" t="s">
        <v>615</v>
      </c>
      <c r="O43" s="280"/>
      <c r="P43" s="280" t="s">
        <v>649</v>
      </c>
      <c r="Q43" s="280" t="s">
        <v>650</v>
      </c>
      <c r="R43" s="280"/>
      <c r="S43" s="280" t="s">
        <v>651</v>
      </c>
      <c r="T43" s="280"/>
      <c r="U43" s="280" t="s">
        <v>31</v>
      </c>
      <c r="V43" s="280" t="s">
        <v>522</v>
      </c>
      <c r="W43" s="280" t="s">
        <v>594</v>
      </c>
      <c r="X43" s="280" t="n">
        <f aca="false">IF($W43="Critical Importance",20,IF($W43="Minor Importance",5,10))</f>
        <v>10</v>
      </c>
    </row>
    <row r="44" customFormat="false" ht="179.1" hidden="false" customHeight="false" outlineLevel="0" collapsed="false">
      <c r="A44" s="282" t="s">
        <v>235</v>
      </c>
      <c r="B44" s="280" t="s">
        <v>652</v>
      </c>
      <c r="C44" s="280" t="n">
        <v>0</v>
      </c>
      <c r="D44" s="280" t="n">
        <v>0</v>
      </c>
      <c r="E44" s="280" t="n">
        <v>0</v>
      </c>
      <c r="F44" s="280" t="n">
        <v>0</v>
      </c>
      <c r="G44" s="280" t="n">
        <v>1</v>
      </c>
      <c r="H44" s="280" t="n">
        <v>0</v>
      </c>
      <c r="I44" s="280" t="n">
        <v>0</v>
      </c>
      <c r="J44" s="280" t="n">
        <v>0</v>
      </c>
      <c r="K44" s="280"/>
      <c r="L44" s="280" t="s">
        <v>622</v>
      </c>
      <c r="M44" s="280" t="s">
        <v>522</v>
      </c>
      <c r="N44" s="280" t="s">
        <v>615</v>
      </c>
      <c r="O44" s="280" t="s">
        <v>653</v>
      </c>
      <c r="P44" s="280" t="s">
        <v>654</v>
      </c>
      <c r="Q44" s="280" t="s">
        <v>655</v>
      </c>
      <c r="R44" s="280"/>
      <c r="S44" s="280" t="s">
        <v>656</v>
      </c>
      <c r="T44" s="280"/>
      <c r="U44" s="280" t="s">
        <v>31</v>
      </c>
      <c r="V44" s="280" t="s">
        <v>522</v>
      </c>
      <c r="W44" s="280" t="s">
        <v>594</v>
      </c>
      <c r="X44" s="280" t="n">
        <f aca="false">IF($W44="Critical Importance",20,IF($W44="Minor Importance",5,10))</f>
        <v>10</v>
      </c>
    </row>
    <row r="45" customFormat="false" ht="217.15" hidden="false" customHeight="false" outlineLevel="0" collapsed="false">
      <c r="A45" s="282" t="s">
        <v>236</v>
      </c>
      <c r="B45" s="280" t="s">
        <v>657</v>
      </c>
      <c r="C45" s="280" t="n">
        <v>0</v>
      </c>
      <c r="D45" s="280" t="n">
        <v>0</v>
      </c>
      <c r="E45" s="280" t="n">
        <v>0</v>
      </c>
      <c r="F45" s="280" t="n">
        <v>0</v>
      </c>
      <c r="G45" s="280" t="n">
        <v>1</v>
      </c>
      <c r="H45" s="280" t="n">
        <v>0</v>
      </c>
      <c r="I45" s="280" t="n">
        <v>0</v>
      </c>
      <c r="J45" s="280" t="n">
        <v>0</v>
      </c>
      <c r="K45" s="280"/>
      <c r="L45" s="280" t="s">
        <v>622</v>
      </c>
      <c r="M45" s="280" t="s">
        <v>522</v>
      </c>
      <c r="N45" s="280" t="s">
        <v>615</v>
      </c>
      <c r="O45" s="280" t="s">
        <v>658</v>
      </c>
      <c r="P45" s="280" t="s">
        <v>659</v>
      </c>
      <c r="Q45" s="280" t="s">
        <v>660</v>
      </c>
      <c r="R45" s="280"/>
      <c r="S45" s="280" t="s">
        <v>661</v>
      </c>
      <c r="T45" s="280" t="s">
        <v>662</v>
      </c>
      <c r="U45" s="280" t="s">
        <v>31</v>
      </c>
      <c r="V45" s="280" t="s">
        <v>522</v>
      </c>
      <c r="W45" s="280" t="s">
        <v>594</v>
      </c>
      <c r="X45" s="280" t="n">
        <f aca="false">IF($W45="Critical Importance",20,IF($W45="Minor Importance",5,10))</f>
        <v>10</v>
      </c>
    </row>
    <row r="46" customFormat="false" ht="267.9" hidden="false" customHeight="false" outlineLevel="0" collapsed="false">
      <c r="A46" s="282" t="s">
        <v>237</v>
      </c>
      <c r="B46" s="280" t="s">
        <v>663</v>
      </c>
      <c r="C46" s="280" t="n">
        <v>0</v>
      </c>
      <c r="D46" s="280" t="n">
        <v>0</v>
      </c>
      <c r="E46" s="280" t="n">
        <v>0</v>
      </c>
      <c r="F46" s="280" t="n">
        <v>0</v>
      </c>
      <c r="G46" s="280" t="n">
        <v>1</v>
      </c>
      <c r="H46" s="280" t="n">
        <v>0</v>
      </c>
      <c r="I46" s="280" t="n">
        <v>0</v>
      </c>
      <c r="J46" s="280" t="n">
        <v>0</v>
      </c>
      <c r="K46" s="280"/>
      <c r="L46" s="280" t="s">
        <v>622</v>
      </c>
      <c r="M46" s="280" t="s">
        <v>522</v>
      </c>
      <c r="N46" s="280" t="s">
        <v>615</v>
      </c>
      <c r="O46" s="280" t="s">
        <v>664</v>
      </c>
      <c r="P46" s="280" t="s">
        <v>665</v>
      </c>
      <c r="Q46" s="280" t="s">
        <v>666</v>
      </c>
      <c r="R46" s="280"/>
      <c r="S46" s="280" t="s">
        <v>667</v>
      </c>
      <c r="T46" s="280"/>
      <c r="U46" s="280" t="s">
        <v>31</v>
      </c>
      <c r="V46" s="280" t="s">
        <v>522</v>
      </c>
      <c r="W46" s="280" t="s">
        <v>594</v>
      </c>
      <c r="X46" s="280" t="n">
        <f aca="false">IF($W46="Critical Importance",20,IF($W46="Minor Importance",5,10))</f>
        <v>10</v>
      </c>
    </row>
    <row r="47" customFormat="false" ht="318.65" hidden="false" customHeight="false" outlineLevel="0" collapsed="false">
      <c r="A47" s="282" t="s">
        <v>239</v>
      </c>
      <c r="B47" s="280" t="s">
        <v>668</v>
      </c>
      <c r="C47" s="280" t="n">
        <v>0</v>
      </c>
      <c r="D47" s="280" t="n">
        <v>0</v>
      </c>
      <c r="E47" s="280" t="n">
        <v>0</v>
      </c>
      <c r="F47" s="280" t="n">
        <v>0</v>
      </c>
      <c r="G47" s="280" t="n">
        <v>1</v>
      </c>
      <c r="H47" s="280" t="n">
        <v>0</v>
      </c>
      <c r="I47" s="280" t="n">
        <v>0</v>
      </c>
      <c r="J47" s="280" t="n">
        <v>0</v>
      </c>
      <c r="K47" s="280"/>
      <c r="L47" s="280" t="s">
        <v>622</v>
      </c>
      <c r="M47" s="280" t="s">
        <v>522</v>
      </c>
      <c r="N47" s="280" t="s">
        <v>615</v>
      </c>
      <c r="O47" s="280" t="s">
        <v>669</v>
      </c>
      <c r="P47" s="280" t="s">
        <v>670</v>
      </c>
      <c r="Q47" s="280" t="s">
        <v>671</v>
      </c>
      <c r="R47" s="280"/>
      <c r="S47" s="280" t="s">
        <v>672</v>
      </c>
      <c r="U47" s="280" t="s">
        <v>31</v>
      </c>
      <c r="V47" s="280" t="s">
        <v>522</v>
      </c>
      <c r="W47" s="280" t="s">
        <v>594</v>
      </c>
      <c r="X47" s="280" t="n">
        <f aca="false">IF($W47="Critical Importance",20,IF($W47="Minor Importance",5,10))</f>
        <v>10</v>
      </c>
    </row>
    <row r="48" customFormat="false" ht="179.1" hidden="false" customHeight="false" outlineLevel="0" collapsed="false">
      <c r="A48" s="282" t="s">
        <v>240</v>
      </c>
      <c r="B48" s="280" t="s">
        <v>673</v>
      </c>
      <c r="C48" s="280" t="n">
        <v>0</v>
      </c>
      <c r="D48" s="280" t="n">
        <v>0</v>
      </c>
      <c r="E48" s="280" t="n">
        <v>0</v>
      </c>
      <c r="F48" s="280" t="n">
        <v>0</v>
      </c>
      <c r="G48" s="280" t="n">
        <v>1</v>
      </c>
      <c r="H48" s="280" t="n">
        <v>0</v>
      </c>
      <c r="I48" s="280" t="n">
        <v>0</v>
      </c>
      <c r="J48" s="280" t="n">
        <v>0</v>
      </c>
      <c r="K48" s="280"/>
      <c r="L48" s="280" t="s">
        <v>622</v>
      </c>
      <c r="M48" s="280" t="s">
        <v>522</v>
      </c>
      <c r="N48" s="280" t="s">
        <v>615</v>
      </c>
      <c r="O48" s="280"/>
      <c r="P48" s="280" t="s">
        <v>674</v>
      </c>
      <c r="Q48" s="280" t="s">
        <v>675</v>
      </c>
      <c r="R48" s="280"/>
      <c r="S48" s="280" t="s">
        <v>676</v>
      </c>
      <c r="T48" s="280" t="s">
        <v>677</v>
      </c>
      <c r="U48" s="280" t="s">
        <v>31</v>
      </c>
      <c r="V48" s="280" t="s">
        <v>522</v>
      </c>
      <c r="W48" s="280" t="s">
        <v>594</v>
      </c>
      <c r="X48" s="280" t="n">
        <f aca="false">IF($W48="Critical Importance",20,IF($W48="Minor Importance",5,10))</f>
        <v>10</v>
      </c>
    </row>
    <row r="49" customFormat="false" ht="242.25" hidden="false" customHeight="false" outlineLevel="0" collapsed="false">
      <c r="A49" s="282" t="s">
        <v>242</v>
      </c>
      <c r="B49" s="280" t="s">
        <v>678</v>
      </c>
      <c r="C49" s="280" t="n">
        <v>0</v>
      </c>
      <c r="D49" s="280" t="n">
        <v>0</v>
      </c>
      <c r="E49" s="280" t="n">
        <v>0</v>
      </c>
      <c r="F49" s="280" t="n">
        <v>0</v>
      </c>
      <c r="G49" s="280" t="n">
        <v>1</v>
      </c>
      <c r="H49" s="280" t="n">
        <v>0</v>
      </c>
      <c r="I49" s="280" t="n">
        <v>0</v>
      </c>
      <c r="J49" s="280" t="n">
        <v>0</v>
      </c>
      <c r="K49" s="280"/>
      <c r="L49" s="280" t="s">
        <v>622</v>
      </c>
      <c r="M49" s="280" t="s">
        <v>522</v>
      </c>
      <c r="N49" s="280" t="s">
        <v>615</v>
      </c>
      <c r="O49" s="280" t="s">
        <v>679</v>
      </c>
      <c r="P49" s="280" t="s">
        <v>679</v>
      </c>
      <c r="Q49" s="280" t="s">
        <v>680</v>
      </c>
      <c r="R49" s="280"/>
      <c r="S49" s="280" t="s">
        <v>681</v>
      </c>
      <c r="T49" s="280"/>
      <c r="U49" s="280" t="s">
        <v>26</v>
      </c>
      <c r="V49" s="280" t="s">
        <v>522</v>
      </c>
      <c r="W49" s="280" t="s">
        <v>594</v>
      </c>
      <c r="X49" s="280" t="n">
        <f aca="false">IF($W49="Critical Importance",20,IF($W49="Minor Importance",5,10))</f>
        <v>10</v>
      </c>
    </row>
    <row r="50" customFormat="false" ht="204.45" hidden="false" customHeight="false" outlineLevel="0" collapsed="false">
      <c r="A50" s="280" t="s">
        <v>63</v>
      </c>
      <c r="B50" s="280" t="s">
        <v>682</v>
      </c>
      <c r="C50" s="280" t="n">
        <v>0</v>
      </c>
      <c r="D50" s="280" t="n">
        <v>1</v>
      </c>
      <c r="E50" s="280" t="n">
        <v>0</v>
      </c>
      <c r="F50" s="280" t="n">
        <v>0</v>
      </c>
      <c r="G50" s="280" t="n">
        <v>0</v>
      </c>
      <c r="H50" s="280" t="n">
        <v>0</v>
      </c>
      <c r="I50" s="280" t="n">
        <v>0</v>
      </c>
      <c r="J50" s="280" t="n">
        <v>1</v>
      </c>
      <c r="K50" s="280"/>
      <c r="L50" s="280" t="s">
        <v>587</v>
      </c>
      <c r="M50" s="280" t="s">
        <v>522</v>
      </c>
      <c r="N50" s="280"/>
      <c r="O50" s="280"/>
      <c r="P50" s="280" t="s">
        <v>683</v>
      </c>
      <c r="Q50" s="280" t="s">
        <v>684</v>
      </c>
      <c r="R50" s="280"/>
      <c r="S50" s="280" t="s">
        <v>685</v>
      </c>
      <c r="T50" s="280" t="s">
        <v>686</v>
      </c>
      <c r="U50" s="280" t="s">
        <v>31</v>
      </c>
      <c r="V50" s="280" t="s">
        <v>522</v>
      </c>
      <c r="W50" s="280" t="s">
        <v>538</v>
      </c>
      <c r="X50" s="280" t="n">
        <f aca="false">IF($W50="Critical Importance",20,IF($W50="Minor Importance",5,10))</f>
        <v>20</v>
      </c>
    </row>
    <row r="51" customFormat="false" ht="115.65" hidden="false" customHeight="false" outlineLevel="0" collapsed="false">
      <c r="A51" s="280" t="s">
        <v>65</v>
      </c>
      <c r="B51" s="280" t="s">
        <v>687</v>
      </c>
      <c r="C51" s="280" t="n">
        <v>0</v>
      </c>
      <c r="D51" s="280" t="n">
        <v>1</v>
      </c>
      <c r="E51" s="280" t="n">
        <v>0</v>
      </c>
      <c r="F51" s="280" t="n">
        <v>0</v>
      </c>
      <c r="G51" s="280" t="n">
        <v>0</v>
      </c>
      <c r="H51" s="280" t="n">
        <v>0</v>
      </c>
      <c r="I51" s="280" t="n">
        <v>0</v>
      </c>
      <c r="J51" s="280" t="n">
        <v>1</v>
      </c>
      <c r="K51" s="280"/>
      <c r="L51" s="280" t="s">
        <v>587</v>
      </c>
      <c r="M51" s="280" t="s">
        <v>522</v>
      </c>
      <c r="N51" s="280"/>
      <c r="O51" s="280" t="s">
        <v>688</v>
      </c>
      <c r="P51" s="280" t="s">
        <v>688</v>
      </c>
      <c r="Q51" s="280" t="s">
        <v>688</v>
      </c>
      <c r="R51" s="280"/>
      <c r="S51" s="280" t="s">
        <v>689</v>
      </c>
      <c r="T51" s="280" t="s">
        <v>690</v>
      </c>
      <c r="U51" s="280" t="s">
        <v>31</v>
      </c>
      <c r="V51" s="280" t="s">
        <v>522</v>
      </c>
      <c r="W51" s="280" t="s">
        <v>538</v>
      </c>
      <c r="X51" s="280" t="n">
        <f aca="false">IF($W51="Critical Importance",20,IF($W51="Minor Importance",5,10))</f>
        <v>20</v>
      </c>
    </row>
    <row r="52" customFormat="false" ht="90.25" hidden="false" customHeight="false" outlineLevel="0" collapsed="false">
      <c r="A52" s="280" t="s">
        <v>67</v>
      </c>
      <c r="B52" s="280" t="s">
        <v>691</v>
      </c>
      <c r="C52" s="280" t="n">
        <v>0</v>
      </c>
      <c r="D52" s="280" t="n">
        <v>1</v>
      </c>
      <c r="E52" s="280" t="n">
        <v>0</v>
      </c>
      <c r="F52" s="280" t="n">
        <v>0</v>
      </c>
      <c r="G52" s="280" t="n">
        <v>0</v>
      </c>
      <c r="H52" s="280" t="n">
        <v>0</v>
      </c>
      <c r="I52" s="280" t="n">
        <v>0</v>
      </c>
      <c r="J52" s="280" t="n">
        <v>1</v>
      </c>
      <c r="K52" s="280"/>
      <c r="L52" s="280" t="s">
        <v>587</v>
      </c>
      <c r="M52" s="280" t="s">
        <v>522</v>
      </c>
      <c r="N52" s="280"/>
      <c r="O52" s="280"/>
      <c r="P52" s="280"/>
      <c r="Q52" s="280"/>
      <c r="R52" s="280"/>
      <c r="S52" s="280" t="s">
        <v>692</v>
      </c>
      <c r="T52" s="280" t="s">
        <v>693</v>
      </c>
      <c r="U52" s="280" t="s">
        <v>31</v>
      </c>
      <c r="V52" s="280" t="s">
        <v>522</v>
      </c>
      <c r="W52" s="280" t="s">
        <v>538</v>
      </c>
      <c r="X52" s="280" t="n">
        <f aca="false">IF($W52="Critical Importance",20,IF($W52="Minor Importance",5,10))</f>
        <v>20</v>
      </c>
    </row>
    <row r="53" customFormat="false" ht="407.45" hidden="false" customHeight="false" outlineLevel="0" collapsed="false">
      <c r="A53" s="280" t="s">
        <v>68</v>
      </c>
      <c r="B53" s="280" t="s">
        <v>694</v>
      </c>
      <c r="C53" s="280" t="n">
        <v>0</v>
      </c>
      <c r="D53" s="280" t="n">
        <v>1</v>
      </c>
      <c r="E53" s="280" t="n">
        <v>0</v>
      </c>
      <c r="F53" s="280" t="n">
        <v>0</v>
      </c>
      <c r="G53" s="280" t="n">
        <v>0</v>
      </c>
      <c r="H53" s="280" t="n">
        <v>0</v>
      </c>
      <c r="I53" s="280" t="n">
        <v>0</v>
      </c>
      <c r="J53" s="280" t="n">
        <v>1</v>
      </c>
      <c r="K53" s="280"/>
      <c r="L53" s="280" t="s">
        <v>587</v>
      </c>
      <c r="M53" s="280" t="s">
        <v>522</v>
      </c>
      <c r="N53" s="280"/>
      <c r="O53" s="280" t="s">
        <v>695</v>
      </c>
      <c r="P53" s="280" t="s">
        <v>696</v>
      </c>
      <c r="Q53" s="280" t="s">
        <v>697</v>
      </c>
      <c r="R53" s="280"/>
      <c r="S53" s="280" t="s">
        <v>698</v>
      </c>
      <c r="T53" s="280" t="s">
        <v>699</v>
      </c>
      <c r="U53" s="280" t="s">
        <v>31</v>
      </c>
      <c r="V53" s="280" t="s">
        <v>522</v>
      </c>
      <c r="W53" s="280" t="s">
        <v>538</v>
      </c>
      <c r="X53" s="280" t="n">
        <f aca="false">IF($W53="Critical Importance",20,IF($W53="Minor Importance",5,10))</f>
        <v>20</v>
      </c>
    </row>
    <row r="54" customFormat="false" ht="229.85" hidden="false" customHeight="false" outlineLevel="0" collapsed="false">
      <c r="A54" s="280" t="s">
        <v>70</v>
      </c>
      <c r="B54" s="280" t="s">
        <v>700</v>
      </c>
      <c r="C54" s="280" t="n">
        <v>0</v>
      </c>
      <c r="D54" s="280" t="n">
        <v>1</v>
      </c>
      <c r="E54" s="280" t="n">
        <v>0</v>
      </c>
      <c r="F54" s="280" t="n">
        <v>0</v>
      </c>
      <c r="G54" s="280" t="n">
        <v>0</v>
      </c>
      <c r="H54" s="280" t="n">
        <v>0</v>
      </c>
      <c r="I54" s="280" t="n">
        <v>0</v>
      </c>
      <c r="J54" s="280" t="n">
        <v>0</v>
      </c>
      <c r="K54" s="280"/>
      <c r="L54" s="280" t="s">
        <v>587</v>
      </c>
      <c r="M54" s="280" t="s">
        <v>522</v>
      </c>
      <c r="N54" s="280"/>
      <c r="O54" s="280" t="s">
        <v>701</v>
      </c>
      <c r="P54" s="280" t="s">
        <v>702</v>
      </c>
      <c r="Q54" s="280" t="s">
        <v>703</v>
      </c>
      <c r="R54" s="280"/>
      <c r="S54" s="280" t="s">
        <v>704</v>
      </c>
      <c r="T54" s="280" t="s">
        <v>705</v>
      </c>
      <c r="U54" s="280" t="s">
        <v>31</v>
      </c>
      <c r="V54" s="280" t="s">
        <v>522</v>
      </c>
      <c r="W54" s="280" t="s">
        <v>594</v>
      </c>
      <c r="X54" s="280" t="n">
        <f aca="false">IF($W54="Critical Importance",20,IF($W54="Minor Importance",5,10))</f>
        <v>10</v>
      </c>
    </row>
    <row r="55" customFormat="false" ht="179.1" hidden="false" customHeight="false" outlineLevel="0" collapsed="false">
      <c r="A55" s="280" t="s">
        <v>245</v>
      </c>
      <c r="B55" s="280" t="s">
        <v>706</v>
      </c>
      <c r="C55" s="280" t="n">
        <v>0</v>
      </c>
      <c r="D55" s="280" t="n">
        <v>0</v>
      </c>
      <c r="E55" s="280" t="n">
        <v>0</v>
      </c>
      <c r="F55" s="280" t="n">
        <v>0</v>
      </c>
      <c r="G55" s="280" t="n">
        <v>0</v>
      </c>
      <c r="H55" s="280" t="n">
        <v>1</v>
      </c>
      <c r="I55" s="280" t="n">
        <v>0</v>
      </c>
      <c r="J55" s="280" t="n">
        <v>1</v>
      </c>
      <c r="K55" s="280"/>
      <c r="L55" s="280" t="s">
        <v>707</v>
      </c>
      <c r="M55" s="280" t="s">
        <v>522</v>
      </c>
      <c r="N55" s="280" t="s">
        <v>708</v>
      </c>
      <c r="O55" s="280"/>
      <c r="P55" s="280"/>
      <c r="Q55" s="280"/>
      <c r="R55" s="280"/>
      <c r="S55" s="280" t="s">
        <v>709</v>
      </c>
      <c r="T55" s="280" t="s">
        <v>531</v>
      </c>
      <c r="U55" s="280" t="s">
        <v>26</v>
      </c>
      <c r="V55" s="280" t="s">
        <v>522</v>
      </c>
      <c r="W55" s="280" t="s">
        <v>538</v>
      </c>
      <c r="X55" s="280" t="n">
        <f aca="false">IF($W55="Critical Importance",20,IF($W55="Minor Importance",5,10))</f>
        <v>20</v>
      </c>
    </row>
    <row r="56" customFormat="false" ht="179.1" hidden="false" customHeight="false" outlineLevel="0" collapsed="false">
      <c r="A56" s="280" t="s">
        <v>246</v>
      </c>
      <c r="B56" s="280" t="s">
        <v>710</v>
      </c>
      <c r="C56" s="280" t="n">
        <v>0</v>
      </c>
      <c r="D56" s="280" t="n">
        <v>0</v>
      </c>
      <c r="E56" s="280" t="n">
        <v>0</v>
      </c>
      <c r="F56" s="280" t="n">
        <v>0</v>
      </c>
      <c r="G56" s="280" t="n">
        <v>0</v>
      </c>
      <c r="H56" s="280" t="n">
        <v>1</v>
      </c>
      <c r="I56" s="280" t="n">
        <v>0</v>
      </c>
      <c r="J56" s="280" t="n">
        <v>1</v>
      </c>
      <c r="K56" s="280"/>
      <c r="L56" s="280" t="s">
        <v>707</v>
      </c>
      <c r="M56" s="280" t="s">
        <v>522</v>
      </c>
      <c r="N56" s="280" t="s">
        <v>708</v>
      </c>
      <c r="O56" s="280"/>
      <c r="P56" s="280"/>
      <c r="Q56" s="280"/>
      <c r="R56" s="280"/>
      <c r="S56" s="280" t="s">
        <v>709</v>
      </c>
      <c r="T56" s="280" t="s">
        <v>531</v>
      </c>
      <c r="U56" s="280" t="s">
        <v>31</v>
      </c>
      <c r="V56" s="280" t="s">
        <v>522</v>
      </c>
      <c r="W56" s="280" t="s">
        <v>538</v>
      </c>
      <c r="X56" s="280" t="n">
        <f aca="false">IF($W56="Critical Importance",20,IF($W56="Minor Importance",5,10))</f>
        <v>20</v>
      </c>
    </row>
    <row r="57" customFormat="false" ht="179.1" hidden="false" customHeight="false" outlineLevel="0" collapsed="false">
      <c r="A57" s="280" t="s">
        <v>247</v>
      </c>
      <c r="B57" s="280" t="s">
        <v>711</v>
      </c>
      <c r="C57" s="280" t="n">
        <v>0</v>
      </c>
      <c r="D57" s="280" t="n">
        <v>0</v>
      </c>
      <c r="E57" s="280" t="n">
        <v>0</v>
      </c>
      <c r="F57" s="280" t="n">
        <v>0</v>
      </c>
      <c r="G57" s="280" t="n">
        <v>0</v>
      </c>
      <c r="H57" s="280" t="n">
        <v>1</v>
      </c>
      <c r="I57" s="280" t="n">
        <v>0</v>
      </c>
      <c r="J57" s="280" t="n">
        <v>1</v>
      </c>
      <c r="K57" s="280"/>
      <c r="L57" s="280" t="s">
        <v>707</v>
      </c>
      <c r="M57" s="280" t="s">
        <v>522</v>
      </c>
      <c r="N57" s="280" t="s">
        <v>708</v>
      </c>
      <c r="O57" s="280"/>
      <c r="P57" s="280"/>
      <c r="Q57" s="280"/>
      <c r="R57" s="280" t="s">
        <v>712</v>
      </c>
      <c r="S57" s="280" t="s">
        <v>709</v>
      </c>
      <c r="T57" s="280" t="s">
        <v>531</v>
      </c>
      <c r="U57" s="280" t="s">
        <v>31</v>
      </c>
      <c r="V57" s="280" t="s">
        <v>522</v>
      </c>
      <c r="W57" s="280" t="s">
        <v>538</v>
      </c>
      <c r="X57" s="280" t="n">
        <f aca="false">IF($W57="Critical Importance",20,IF($W57="Minor Importance",5,10))</f>
        <v>20</v>
      </c>
    </row>
    <row r="58" customFormat="false" ht="179.1" hidden="false" customHeight="false" outlineLevel="0" collapsed="false">
      <c r="A58" s="280" t="s">
        <v>248</v>
      </c>
      <c r="B58" s="280" t="s">
        <v>713</v>
      </c>
      <c r="C58" s="280" t="n">
        <v>0</v>
      </c>
      <c r="D58" s="280" t="n">
        <v>0</v>
      </c>
      <c r="E58" s="280" t="n">
        <v>0</v>
      </c>
      <c r="F58" s="280" t="n">
        <v>0</v>
      </c>
      <c r="G58" s="280" t="n">
        <v>0</v>
      </c>
      <c r="H58" s="280" t="n">
        <v>1</v>
      </c>
      <c r="I58" s="280" t="n">
        <v>0</v>
      </c>
      <c r="J58" s="280" t="n">
        <v>1</v>
      </c>
      <c r="K58" s="280"/>
      <c r="L58" s="280" t="s">
        <v>707</v>
      </c>
      <c r="M58" s="280" t="s">
        <v>522</v>
      </c>
      <c r="N58" s="280" t="s">
        <v>708</v>
      </c>
      <c r="O58" s="280"/>
      <c r="P58" s="280"/>
      <c r="Q58" s="280"/>
      <c r="R58" s="280" t="s">
        <v>712</v>
      </c>
      <c r="S58" s="280" t="s">
        <v>709</v>
      </c>
      <c r="T58" s="280" t="s">
        <v>531</v>
      </c>
      <c r="U58" s="280" t="s">
        <v>31</v>
      </c>
      <c r="V58" s="280" t="s">
        <v>522</v>
      </c>
      <c r="W58" s="280" t="s">
        <v>538</v>
      </c>
      <c r="X58" s="280" t="n">
        <f aca="false">IF($W58="Critical Importance",20,IF($W58="Minor Importance",5,10))</f>
        <v>20</v>
      </c>
    </row>
    <row r="59" customFormat="false" ht="179.1" hidden="false" customHeight="false" outlineLevel="0" collapsed="false">
      <c r="A59" s="280" t="s">
        <v>249</v>
      </c>
      <c r="B59" s="280" t="s">
        <v>714</v>
      </c>
      <c r="C59" s="280" t="n">
        <v>0</v>
      </c>
      <c r="D59" s="280" t="n">
        <v>0</v>
      </c>
      <c r="E59" s="280" t="n">
        <v>0</v>
      </c>
      <c r="F59" s="280" t="n">
        <v>0</v>
      </c>
      <c r="G59" s="280" t="n">
        <v>0</v>
      </c>
      <c r="H59" s="280" t="n">
        <v>1</v>
      </c>
      <c r="I59" s="280" t="n">
        <v>0</v>
      </c>
      <c r="J59" s="280" t="n">
        <v>1</v>
      </c>
      <c r="K59" s="280"/>
      <c r="L59" s="280" t="s">
        <v>707</v>
      </c>
      <c r="M59" s="280" t="s">
        <v>522</v>
      </c>
      <c r="N59" s="280" t="s">
        <v>708</v>
      </c>
      <c r="O59" s="280"/>
      <c r="P59" s="280"/>
      <c r="Q59" s="280"/>
      <c r="R59" s="280"/>
      <c r="S59" s="280" t="s">
        <v>709</v>
      </c>
      <c r="T59" s="280" t="s">
        <v>531</v>
      </c>
      <c r="U59" s="280" t="s">
        <v>26</v>
      </c>
      <c r="V59" s="280" t="s">
        <v>522</v>
      </c>
      <c r="W59" s="280" t="s">
        <v>594</v>
      </c>
      <c r="X59" s="280" t="n">
        <f aca="false">IF($W59="Critical Importance",20,IF($W59="Minor Importance",5,10))</f>
        <v>10</v>
      </c>
    </row>
    <row r="60" customFormat="false" ht="179.1" hidden="false" customHeight="false" outlineLevel="0" collapsed="false">
      <c r="A60" s="280" t="s">
        <v>250</v>
      </c>
      <c r="B60" s="280" t="s">
        <v>715</v>
      </c>
      <c r="C60" s="280" t="n">
        <v>0</v>
      </c>
      <c r="D60" s="280" t="n">
        <v>0</v>
      </c>
      <c r="E60" s="280" t="n">
        <v>0</v>
      </c>
      <c r="F60" s="280" t="n">
        <v>0</v>
      </c>
      <c r="G60" s="280" t="n">
        <v>0</v>
      </c>
      <c r="H60" s="280" t="n">
        <v>1</v>
      </c>
      <c r="I60" s="280" t="n">
        <v>0</v>
      </c>
      <c r="J60" s="280" t="n">
        <v>1</v>
      </c>
      <c r="K60" s="280"/>
      <c r="L60" s="280" t="s">
        <v>707</v>
      </c>
      <c r="M60" s="280" t="s">
        <v>522</v>
      </c>
      <c r="N60" s="280" t="s">
        <v>708</v>
      </c>
      <c r="O60" s="280"/>
      <c r="P60" s="280"/>
      <c r="Q60" s="280"/>
      <c r="R60" s="280"/>
      <c r="S60" s="280" t="s">
        <v>709</v>
      </c>
      <c r="T60" s="280" t="s">
        <v>531</v>
      </c>
      <c r="U60" s="280" t="s">
        <v>26</v>
      </c>
      <c r="V60" s="280" t="s">
        <v>522</v>
      </c>
      <c r="W60" s="280" t="s">
        <v>594</v>
      </c>
      <c r="X60" s="280" t="n">
        <f aca="false">IF($W60="Critical Importance",20,IF($W60="Minor Importance",5,10))</f>
        <v>10</v>
      </c>
    </row>
    <row r="61" customFormat="false" ht="179.1" hidden="false" customHeight="false" outlineLevel="0" collapsed="false">
      <c r="A61" s="280" t="s">
        <v>251</v>
      </c>
      <c r="B61" s="280" t="s">
        <v>716</v>
      </c>
      <c r="C61" s="280" t="n">
        <v>0</v>
      </c>
      <c r="D61" s="280" t="n">
        <v>0</v>
      </c>
      <c r="E61" s="280" t="n">
        <v>0</v>
      </c>
      <c r="F61" s="280" t="n">
        <v>0</v>
      </c>
      <c r="G61" s="280" t="n">
        <v>0</v>
      </c>
      <c r="H61" s="280" t="n">
        <v>1</v>
      </c>
      <c r="I61" s="280" t="n">
        <v>0</v>
      </c>
      <c r="J61" s="280" t="n">
        <v>1</v>
      </c>
      <c r="K61" s="280"/>
      <c r="L61" s="280" t="s">
        <v>707</v>
      </c>
      <c r="M61" s="280" t="s">
        <v>522</v>
      </c>
      <c r="N61" s="280" t="s">
        <v>708</v>
      </c>
      <c r="O61" s="280"/>
      <c r="P61" s="280"/>
      <c r="Q61" s="280"/>
      <c r="R61" s="280"/>
      <c r="S61" s="280" t="s">
        <v>709</v>
      </c>
      <c r="T61" s="280" t="s">
        <v>531</v>
      </c>
      <c r="U61" s="280" t="s">
        <v>26</v>
      </c>
      <c r="V61" s="280" t="s">
        <v>522</v>
      </c>
      <c r="W61" s="280" t="s">
        <v>594</v>
      </c>
      <c r="X61" s="280" t="n">
        <f aca="false">IF($W61="Critical Importance",20,IF($W61="Minor Importance",5,10))</f>
        <v>10</v>
      </c>
    </row>
    <row r="62" customFormat="false" ht="179.1" hidden="false" customHeight="false" outlineLevel="0" collapsed="false">
      <c r="A62" s="280" t="s">
        <v>252</v>
      </c>
      <c r="B62" s="280" t="s">
        <v>717</v>
      </c>
      <c r="C62" s="280" t="n">
        <v>0</v>
      </c>
      <c r="D62" s="280" t="n">
        <v>0</v>
      </c>
      <c r="E62" s="280" t="n">
        <v>0</v>
      </c>
      <c r="F62" s="280" t="n">
        <v>0</v>
      </c>
      <c r="G62" s="280" t="n">
        <v>0</v>
      </c>
      <c r="H62" s="280" t="n">
        <v>1</v>
      </c>
      <c r="I62" s="280" t="n">
        <v>0</v>
      </c>
      <c r="J62" s="280" t="n">
        <v>1</v>
      </c>
      <c r="K62" s="280"/>
      <c r="L62" s="280" t="s">
        <v>707</v>
      </c>
      <c r="M62" s="280" t="s">
        <v>522</v>
      </c>
      <c r="N62" s="280" t="s">
        <v>708</v>
      </c>
      <c r="O62" s="280"/>
      <c r="P62" s="280"/>
      <c r="Q62" s="280"/>
      <c r="R62" s="280"/>
      <c r="S62" s="280" t="s">
        <v>709</v>
      </c>
      <c r="T62" s="280" t="s">
        <v>531</v>
      </c>
      <c r="U62" s="280" t="s">
        <v>26</v>
      </c>
      <c r="V62" s="280" t="s">
        <v>522</v>
      </c>
      <c r="W62" s="280" t="s">
        <v>594</v>
      </c>
      <c r="X62" s="280" t="n">
        <f aca="false">IF($W62="Critical Importance",20,IF($W62="Minor Importance",5,10))</f>
        <v>10</v>
      </c>
    </row>
    <row r="63" customFormat="false" ht="179.1" hidden="false" customHeight="false" outlineLevel="0" collapsed="false">
      <c r="A63" s="280" t="s">
        <v>253</v>
      </c>
      <c r="B63" s="280" t="s">
        <v>718</v>
      </c>
      <c r="C63" s="280" t="n">
        <v>0</v>
      </c>
      <c r="D63" s="280" t="n">
        <v>0</v>
      </c>
      <c r="E63" s="280" t="n">
        <v>0</v>
      </c>
      <c r="F63" s="280" t="n">
        <v>0</v>
      </c>
      <c r="G63" s="280" t="n">
        <v>0</v>
      </c>
      <c r="H63" s="280" t="n">
        <v>1</v>
      </c>
      <c r="I63" s="280" t="n">
        <v>0</v>
      </c>
      <c r="J63" s="280" t="n">
        <v>1</v>
      </c>
      <c r="K63" s="280"/>
      <c r="L63" s="280" t="s">
        <v>707</v>
      </c>
      <c r="M63" s="280" t="s">
        <v>522</v>
      </c>
      <c r="N63" s="280" t="s">
        <v>708</v>
      </c>
      <c r="O63" s="280"/>
      <c r="P63" s="280"/>
      <c r="Q63" s="280"/>
      <c r="R63" s="280"/>
      <c r="S63" s="280" t="s">
        <v>709</v>
      </c>
      <c r="T63" s="280" t="s">
        <v>531</v>
      </c>
      <c r="U63" s="280" t="s">
        <v>26</v>
      </c>
      <c r="V63" s="280" t="s">
        <v>522</v>
      </c>
      <c r="W63" s="280" t="s">
        <v>594</v>
      </c>
      <c r="X63" s="280" t="n">
        <f aca="false">IF($W63="Critical Importance",20,IF($W63="Minor Importance",5,10))</f>
        <v>10</v>
      </c>
    </row>
    <row r="64" customFormat="false" ht="217.15" hidden="false" customHeight="false" outlineLevel="0" collapsed="false">
      <c r="A64" s="280" t="s">
        <v>158</v>
      </c>
      <c r="B64" s="280" t="s">
        <v>719</v>
      </c>
      <c r="C64" s="280" t="n">
        <v>0</v>
      </c>
      <c r="D64" s="280" t="n">
        <v>0</v>
      </c>
      <c r="E64" s="280" t="n">
        <v>0</v>
      </c>
      <c r="F64" s="280" t="n">
        <v>1</v>
      </c>
      <c r="G64" s="280" t="n">
        <v>0</v>
      </c>
      <c r="H64" s="280" t="n">
        <v>0</v>
      </c>
      <c r="I64" s="280" t="n">
        <v>0</v>
      </c>
      <c r="J64" s="280" t="n">
        <v>1</v>
      </c>
      <c r="K64" s="280"/>
      <c r="L64" s="280" t="s">
        <v>720</v>
      </c>
      <c r="M64" s="280" t="s">
        <v>522</v>
      </c>
      <c r="N64" s="280" t="s">
        <v>721</v>
      </c>
      <c r="O64" s="280" t="s">
        <v>722</v>
      </c>
      <c r="P64" s="280" t="s">
        <v>723</v>
      </c>
      <c r="Q64" s="280" t="s">
        <v>724</v>
      </c>
      <c r="R64" s="280"/>
      <c r="S64" s="280" t="s">
        <v>725</v>
      </c>
      <c r="T64" s="280" t="s">
        <v>726</v>
      </c>
      <c r="U64" s="280" t="s">
        <v>31</v>
      </c>
      <c r="V64" s="280" t="s">
        <v>522</v>
      </c>
      <c r="W64" s="280" t="s">
        <v>538</v>
      </c>
      <c r="X64" s="280" t="n">
        <f aca="false">IF($W64="Critical Importance",20,IF($W64="Minor Importance",5,10))</f>
        <v>20</v>
      </c>
    </row>
    <row r="65" customFormat="false" ht="242.25" hidden="false" customHeight="false" outlineLevel="0" collapsed="false">
      <c r="A65" s="280" t="s">
        <v>159</v>
      </c>
      <c r="B65" s="280" t="s">
        <v>727</v>
      </c>
      <c r="C65" s="280" t="n">
        <v>0</v>
      </c>
      <c r="D65" s="280" t="n">
        <v>0</v>
      </c>
      <c r="E65" s="280" t="n">
        <v>0</v>
      </c>
      <c r="F65" s="280" t="n">
        <v>1</v>
      </c>
      <c r="G65" s="280" t="n">
        <v>0</v>
      </c>
      <c r="H65" s="280" t="n">
        <v>0</v>
      </c>
      <c r="I65" s="280" t="n">
        <v>0</v>
      </c>
      <c r="J65" s="280" t="n">
        <v>0</v>
      </c>
      <c r="K65" s="280"/>
      <c r="L65" s="280" t="s">
        <v>720</v>
      </c>
      <c r="M65" s="280" t="s">
        <v>522</v>
      </c>
      <c r="N65" s="280" t="s">
        <v>721</v>
      </c>
      <c r="O65" s="280"/>
      <c r="P65" s="280" t="s">
        <v>728</v>
      </c>
      <c r="Q65" s="280" t="s">
        <v>729</v>
      </c>
      <c r="R65" s="280"/>
      <c r="S65" s="280" t="s">
        <v>730</v>
      </c>
      <c r="T65" s="280" t="s">
        <v>731</v>
      </c>
      <c r="U65" s="280" t="s">
        <v>31</v>
      </c>
      <c r="V65" s="280" t="s">
        <v>522</v>
      </c>
      <c r="W65" s="280" t="s">
        <v>538</v>
      </c>
      <c r="X65" s="280" t="n">
        <f aca="false">IF($W65="Critical Importance",20,IF($W65="Minor Importance",5,10))</f>
        <v>20</v>
      </c>
    </row>
    <row r="66" customFormat="false" ht="204.45" hidden="false" customHeight="false" outlineLevel="0" collapsed="false">
      <c r="A66" s="280" t="s">
        <v>160</v>
      </c>
      <c r="B66" s="280" t="s">
        <v>732</v>
      </c>
      <c r="C66" s="280" t="n">
        <v>0</v>
      </c>
      <c r="D66" s="280" t="n">
        <v>0</v>
      </c>
      <c r="E66" s="280" t="n">
        <v>0</v>
      </c>
      <c r="F66" s="280" t="n">
        <v>1</v>
      </c>
      <c r="G66" s="280" t="n">
        <v>0</v>
      </c>
      <c r="H66" s="280" t="n">
        <v>0</v>
      </c>
      <c r="I66" s="280" t="n">
        <v>0</v>
      </c>
      <c r="J66" s="280" t="n">
        <v>0</v>
      </c>
      <c r="K66" s="280"/>
      <c r="L66" s="280" t="s">
        <v>720</v>
      </c>
      <c r="M66" s="280" t="s">
        <v>522</v>
      </c>
      <c r="N66" s="280" t="s">
        <v>721</v>
      </c>
      <c r="O66" s="280" t="s">
        <v>733</v>
      </c>
      <c r="P66" s="280" t="s">
        <v>734</v>
      </c>
      <c r="Q66" s="280" t="s">
        <v>735</v>
      </c>
      <c r="R66" s="280"/>
      <c r="S66" s="280" t="s">
        <v>736</v>
      </c>
      <c r="T66" s="280" t="s">
        <v>737</v>
      </c>
      <c r="U66" s="280" t="s">
        <v>31</v>
      </c>
      <c r="V66" s="280" t="s">
        <v>522</v>
      </c>
      <c r="W66" s="280" t="s">
        <v>538</v>
      </c>
      <c r="X66" s="280" t="n">
        <f aca="false">IF($W66="Critical Importance",20,IF($W66="Minor Importance",5,10))</f>
        <v>20</v>
      </c>
    </row>
    <row r="67" customFormat="false" ht="90.25" hidden="false" customHeight="false" outlineLevel="0" collapsed="false">
      <c r="A67" s="280" t="s">
        <v>161</v>
      </c>
      <c r="B67" s="280" t="s">
        <v>738</v>
      </c>
      <c r="C67" s="280" t="n">
        <v>0</v>
      </c>
      <c r="D67" s="280" t="n">
        <v>0</v>
      </c>
      <c r="E67" s="280" t="n">
        <v>0</v>
      </c>
      <c r="F67" s="280" t="n">
        <v>1</v>
      </c>
      <c r="G67" s="280" t="n">
        <v>0</v>
      </c>
      <c r="H67" s="280" t="n">
        <v>0</v>
      </c>
      <c r="I67" s="280" t="n">
        <v>0</v>
      </c>
      <c r="J67" s="280" t="n">
        <v>1</v>
      </c>
      <c r="K67" s="280"/>
      <c r="L67" s="280" t="s">
        <v>720</v>
      </c>
      <c r="M67" s="280" t="s">
        <v>522</v>
      </c>
      <c r="N67" s="280" t="s">
        <v>721</v>
      </c>
      <c r="O67" s="280"/>
      <c r="P67" s="280" t="s">
        <v>739</v>
      </c>
      <c r="Q67" s="280" t="s">
        <v>740</v>
      </c>
      <c r="R67" s="280"/>
      <c r="S67" s="280" t="s">
        <v>741</v>
      </c>
      <c r="T67" s="280" t="s">
        <v>742</v>
      </c>
      <c r="U67" s="280" t="s">
        <v>26</v>
      </c>
      <c r="V67" s="280" t="s">
        <v>522</v>
      </c>
      <c r="W67" s="280" t="s">
        <v>538</v>
      </c>
      <c r="X67" s="280" t="n">
        <f aca="false">IF($W67="Critical Importance",20,IF($W67="Minor Importance",5,10))</f>
        <v>20</v>
      </c>
    </row>
    <row r="68" customFormat="false" ht="267.9" hidden="false" customHeight="false" outlineLevel="0" collapsed="false">
      <c r="A68" s="280" t="s">
        <v>162</v>
      </c>
      <c r="B68" s="280" t="s">
        <v>743</v>
      </c>
      <c r="C68" s="280" t="n">
        <v>0</v>
      </c>
      <c r="D68" s="280" t="n">
        <v>0</v>
      </c>
      <c r="E68" s="280" t="n">
        <v>0</v>
      </c>
      <c r="F68" s="280" t="n">
        <v>1</v>
      </c>
      <c r="G68" s="280" t="n">
        <v>0</v>
      </c>
      <c r="H68" s="280" t="n">
        <v>0</v>
      </c>
      <c r="I68" s="280" t="n">
        <v>0</v>
      </c>
      <c r="J68" s="280" t="n">
        <v>0</v>
      </c>
      <c r="K68" s="280"/>
      <c r="L68" s="280" t="s">
        <v>720</v>
      </c>
      <c r="M68" s="280" t="s">
        <v>522</v>
      </c>
      <c r="N68" s="280" t="s">
        <v>721</v>
      </c>
      <c r="O68" s="280"/>
      <c r="P68" s="280" t="s">
        <v>744</v>
      </c>
      <c r="Q68" s="280" t="s">
        <v>745</v>
      </c>
      <c r="R68" s="280"/>
      <c r="S68" s="280" t="s">
        <v>746</v>
      </c>
      <c r="T68" s="280" t="s">
        <v>747</v>
      </c>
      <c r="U68" s="280" t="s">
        <v>31</v>
      </c>
      <c r="V68" s="280" t="s">
        <v>522</v>
      </c>
      <c r="W68" s="280" t="s">
        <v>538</v>
      </c>
      <c r="X68" s="280" t="n">
        <f aca="false">IF($W68="Critical Importance",20,IF($W68="Minor Importance",5,10))</f>
        <v>20</v>
      </c>
    </row>
    <row r="69" customFormat="false" ht="242.25" hidden="false" customHeight="false" outlineLevel="0" collapsed="false">
      <c r="A69" s="280" t="s">
        <v>163</v>
      </c>
      <c r="B69" s="280" t="s">
        <v>748</v>
      </c>
      <c r="C69" s="280" t="n">
        <v>0</v>
      </c>
      <c r="D69" s="280" t="n">
        <v>0</v>
      </c>
      <c r="E69" s="280" t="n">
        <v>0</v>
      </c>
      <c r="F69" s="280" t="n">
        <v>1</v>
      </c>
      <c r="G69" s="280" t="n">
        <v>0</v>
      </c>
      <c r="H69" s="280" t="n">
        <v>0</v>
      </c>
      <c r="I69" s="280" t="n">
        <v>0</v>
      </c>
      <c r="J69" s="280" t="n">
        <v>0</v>
      </c>
      <c r="K69" s="280"/>
      <c r="L69" s="280" t="s">
        <v>720</v>
      </c>
      <c r="M69" s="280" t="s">
        <v>522</v>
      </c>
      <c r="N69" s="280" t="s">
        <v>721</v>
      </c>
      <c r="O69" s="280"/>
      <c r="P69" s="280" t="s">
        <v>749</v>
      </c>
      <c r="Q69" s="280" t="s">
        <v>750</v>
      </c>
      <c r="R69" s="280"/>
      <c r="S69" s="280" t="s">
        <v>751</v>
      </c>
      <c r="T69" s="280" t="s">
        <v>752</v>
      </c>
      <c r="U69" s="280" t="s">
        <v>31</v>
      </c>
      <c r="V69" s="280" t="s">
        <v>522</v>
      </c>
      <c r="W69" s="280" t="s">
        <v>538</v>
      </c>
      <c r="X69" s="280" t="n">
        <f aca="false">IF($W69="Critical Importance",20,IF($W69="Minor Importance",5,10))</f>
        <v>20</v>
      </c>
    </row>
    <row r="70" customFormat="false" ht="153.7" hidden="false" customHeight="false" outlineLevel="0" collapsed="false">
      <c r="A70" s="280" t="s">
        <v>164</v>
      </c>
      <c r="B70" s="280" t="s">
        <v>753</v>
      </c>
      <c r="C70" s="280" t="n">
        <v>0</v>
      </c>
      <c r="D70" s="280" t="n">
        <v>0</v>
      </c>
      <c r="E70" s="280" t="n">
        <v>0</v>
      </c>
      <c r="F70" s="280" t="n">
        <v>1</v>
      </c>
      <c r="G70" s="280" t="n">
        <v>0</v>
      </c>
      <c r="H70" s="280" t="n">
        <v>0</v>
      </c>
      <c r="I70" s="280" t="n">
        <v>0</v>
      </c>
      <c r="J70" s="280" t="n">
        <v>0</v>
      </c>
      <c r="K70" s="280"/>
      <c r="L70" s="280" t="s">
        <v>720</v>
      </c>
      <c r="M70" s="280" t="s">
        <v>522</v>
      </c>
      <c r="N70" s="280" t="s">
        <v>721</v>
      </c>
      <c r="O70" s="280"/>
      <c r="P70" s="280" t="s">
        <v>754</v>
      </c>
      <c r="Q70" s="280" t="s">
        <v>755</v>
      </c>
      <c r="R70" s="280"/>
      <c r="S70" s="280" t="s">
        <v>756</v>
      </c>
      <c r="T70" s="280" t="s">
        <v>757</v>
      </c>
      <c r="U70" s="280" t="s">
        <v>31</v>
      </c>
      <c r="V70" s="280" t="s">
        <v>522</v>
      </c>
      <c r="W70" s="280" t="s">
        <v>538</v>
      </c>
      <c r="X70" s="280" t="n">
        <f aca="false">IF($W70="Critical Importance",20,IF($W70="Minor Importance",5,10))</f>
        <v>20</v>
      </c>
    </row>
    <row r="71" customFormat="false" ht="204.45" hidden="false" customHeight="false" outlineLevel="0" collapsed="false">
      <c r="A71" s="280" t="s">
        <v>165</v>
      </c>
      <c r="B71" s="280" t="s">
        <v>758</v>
      </c>
      <c r="C71" s="280" t="n">
        <v>0</v>
      </c>
      <c r="D71" s="280" t="n">
        <v>0</v>
      </c>
      <c r="E71" s="280" t="n">
        <v>0</v>
      </c>
      <c r="F71" s="280" t="n">
        <v>1</v>
      </c>
      <c r="G71" s="280" t="n">
        <v>0</v>
      </c>
      <c r="H71" s="280" t="n">
        <v>0</v>
      </c>
      <c r="I71" s="280" t="n">
        <v>0</v>
      </c>
      <c r="J71" s="280" t="n">
        <v>1</v>
      </c>
      <c r="K71" s="280"/>
      <c r="L71" s="280" t="s">
        <v>720</v>
      </c>
      <c r="M71" s="280" t="s">
        <v>522</v>
      </c>
      <c r="N71" s="280" t="s">
        <v>721</v>
      </c>
      <c r="O71" s="280" t="s">
        <v>759</v>
      </c>
      <c r="P71" s="280" t="s">
        <v>760</v>
      </c>
      <c r="Q71" s="280" t="s">
        <v>759</v>
      </c>
      <c r="R71" s="280"/>
      <c r="S71" s="280" t="s">
        <v>761</v>
      </c>
      <c r="T71" s="280" t="s">
        <v>762</v>
      </c>
      <c r="U71" s="280" t="s">
        <v>31</v>
      </c>
      <c r="V71" s="280" t="s">
        <v>522</v>
      </c>
      <c r="W71" s="280" t="s">
        <v>594</v>
      </c>
      <c r="X71" s="280" t="n">
        <f aca="false">IF($W71="Critical Importance",20,IF($W71="Minor Importance",5,10))</f>
        <v>10</v>
      </c>
    </row>
    <row r="72" customFormat="false" ht="217.15" hidden="false" customHeight="false" outlineLevel="0" collapsed="false">
      <c r="A72" s="280" t="s">
        <v>166</v>
      </c>
      <c r="B72" s="280" t="s">
        <v>763</v>
      </c>
      <c r="C72" s="280" t="n">
        <v>0</v>
      </c>
      <c r="D72" s="280" t="n">
        <v>0</v>
      </c>
      <c r="E72" s="280" t="n">
        <v>0</v>
      </c>
      <c r="F72" s="280" t="n">
        <v>1</v>
      </c>
      <c r="G72" s="280" t="n">
        <v>0</v>
      </c>
      <c r="H72" s="280" t="n">
        <v>0</v>
      </c>
      <c r="I72" s="280" t="n">
        <v>0</v>
      </c>
      <c r="J72" s="280" t="n">
        <v>0</v>
      </c>
      <c r="K72" s="280"/>
      <c r="L72" s="280" t="s">
        <v>720</v>
      </c>
      <c r="M72" s="280" t="s">
        <v>522</v>
      </c>
      <c r="N72" s="280" t="s">
        <v>721</v>
      </c>
      <c r="O72" s="280"/>
      <c r="P72" s="280" t="s">
        <v>764</v>
      </c>
      <c r="Q72" s="280" t="s">
        <v>765</v>
      </c>
      <c r="R72" s="280"/>
      <c r="S72" s="280" t="s">
        <v>766</v>
      </c>
      <c r="T72" s="280" t="s">
        <v>767</v>
      </c>
      <c r="U72" s="280" t="s">
        <v>31</v>
      </c>
      <c r="V72" s="280" t="s">
        <v>522</v>
      </c>
      <c r="W72" s="280" t="s">
        <v>594</v>
      </c>
      <c r="X72" s="280" t="n">
        <f aca="false">IF($W72="Critical Importance",20,IF($W72="Minor Importance",5,10))</f>
        <v>10</v>
      </c>
    </row>
    <row r="73" customFormat="false" ht="267.9" hidden="false" customHeight="false" outlineLevel="0" collapsed="false">
      <c r="A73" s="280" t="s">
        <v>167</v>
      </c>
      <c r="B73" s="280" t="s">
        <v>768</v>
      </c>
      <c r="C73" s="280" t="n">
        <v>0</v>
      </c>
      <c r="D73" s="280" t="n">
        <v>0</v>
      </c>
      <c r="E73" s="280" t="n">
        <v>0</v>
      </c>
      <c r="F73" s="280" t="n">
        <v>1</v>
      </c>
      <c r="G73" s="280" t="n">
        <v>0</v>
      </c>
      <c r="H73" s="280" t="n">
        <v>0</v>
      </c>
      <c r="I73" s="280" t="n">
        <v>0</v>
      </c>
      <c r="J73" s="280" t="n">
        <v>0</v>
      </c>
      <c r="K73" s="280"/>
      <c r="L73" s="280" t="s">
        <v>720</v>
      </c>
      <c r="M73" s="280" t="s">
        <v>522</v>
      </c>
      <c r="N73" s="280" t="s">
        <v>721</v>
      </c>
      <c r="O73" s="280" t="s">
        <v>769</v>
      </c>
      <c r="P73" s="280" t="s">
        <v>610</v>
      </c>
      <c r="Q73" s="280" t="s">
        <v>770</v>
      </c>
      <c r="R73" s="280"/>
      <c r="S73" s="280" t="s">
        <v>771</v>
      </c>
      <c r="T73" s="280" t="s">
        <v>772</v>
      </c>
      <c r="U73" s="280" t="s">
        <v>31</v>
      </c>
      <c r="V73" s="280" t="s">
        <v>522</v>
      </c>
      <c r="W73" s="280" t="s">
        <v>594</v>
      </c>
      <c r="X73" s="280" t="n">
        <f aca="false">IF($W73="Critical Importance",20,IF($W73="Minor Importance",5,10))</f>
        <v>10</v>
      </c>
    </row>
    <row r="74" customFormat="false" ht="191.75" hidden="false" customHeight="false" outlineLevel="0" collapsed="false">
      <c r="A74" s="280" t="s">
        <v>168</v>
      </c>
      <c r="B74" s="280" t="s">
        <v>773</v>
      </c>
      <c r="C74" s="280" t="n">
        <v>0</v>
      </c>
      <c r="D74" s="280" t="n">
        <v>0</v>
      </c>
      <c r="E74" s="280" t="n">
        <v>0</v>
      </c>
      <c r="F74" s="280" t="n">
        <v>1</v>
      </c>
      <c r="G74" s="280" t="n">
        <v>0</v>
      </c>
      <c r="H74" s="280" t="n">
        <v>0</v>
      </c>
      <c r="I74" s="280" t="n">
        <v>0</v>
      </c>
      <c r="J74" s="280" t="n">
        <v>0</v>
      </c>
      <c r="K74" s="280"/>
      <c r="L74" s="280" t="s">
        <v>720</v>
      </c>
      <c r="M74" s="280" t="s">
        <v>522</v>
      </c>
      <c r="N74" s="280" t="s">
        <v>721</v>
      </c>
      <c r="O74" s="280"/>
      <c r="P74" s="280" t="s">
        <v>774</v>
      </c>
      <c r="Q74" s="280" t="s">
        <v>775</v>
      </c>
      <c r="R74" s="280"/>
      <c r="S74" s="280" t="s">
        <v>776</v>
      </c>
      <c r="T74" s="280" t="s">
        <v>777</v>
      </c>
      <c r="U74" s="280" t="s">
        <v>31</v>
      </c>
      <c r="V74" s="280" t="s">
        <v>522</v>
      </c>
      <c r="W74" s="280" t="s">
        <v>594</v>
      </c>
      <c r="X74" s="280" t="n">
        <f aca="false">IF($W74="Critical Importance",20,IF($W74="Minor Importance",5,10))</f>
        <v>10</v>
      </c>
    </row>
    <row r="75" customFormat="false" ht="191.75" hidden="false" customHeight="false" outlineLevel="0" collapsed="false">
      <c r="A75" s="280" t="s">
        <v>169</v>
      </c>
      <c r="B75" s="280" t="s">
        <v>778</v>
      </c>
      <c r="C75" s="280" t="n">
        <v>0</v>
      </c>
      <c r="D75" s="280" t="n">
        <v>0</v>
      </c>
      <c r="E75" s="280" t="n">
        <v>0</v>
      </c>
      <c r="F75" s="280" t="n">
        <v>1</v>
      </c>
      <c r="G75" s="280" t="n">
        <v>0</v>
      </c>
      <c r="H75" s="280" t="n">
        <v>0</v>
      </c>
      <c r="I75" s="280" t="n">
        <v>0</v>
      </c>
      <c r="J75" s="280" t="n">
        <v>0</v>
      </c>
      <c r="K75" s="280"/>
      <c r="L75" s="280" t="s">
        <v>720</v>
      </c>
      <c r="M75" s="280" t="s">
        <v>522</v>
      </c>
      <c r="N75" s="280" t="s">
        <v>721</v>
      </c>
      <c r="O75" s="280"/>
      <c r="P75" s="280" t="s">
        <v>779</v>
      </c>
      <c r="Q75" s="280" t="s">
        <v>780</v>
      </c>
      <c r="R75" s="280"/>
      <c r="S75" s="280" t="s">
        <v>776</v>
      </c>
      <c r="T75" s="280" t="s">
        <v>777</v>
      </c>
      <c r="U75" s="280" t="s">
        <v>31</v>
      </c>
      <c r="V75" s="280" t="s">
        <v>522</v>
      </c>
      <c r="W75" s="280" t="s">
        <v>594</v>
      </c>
      <c r="X75" s="280" t="n">
        <f aca="false">IF($W75="Critical Importance",20,IF($W75="Minor Importance",5,10))</f>
        <v>10</v>
      </c>
    </row>
    <row r="76" customFormat="false" ht="141" hidden="false" customHeight="false" outlineLevel="0" collapsed="false">
      <c r="A76" s="280" t="s">
        <v>170</v>
      </c>
      <c r="B76" s="280" t="s">
        <v>781</v>
      </c>
      <c r="C76" s="280" t="n">
        <v>0</v>
      </c>
      <c r="D76" s="280" t="n">
        <v>0</v>
      </c>
      <c r="E76" s="280" t="n">
        <v>0</v>
      </c>
      <c r="F76" s="280" t="n">
        <v>1</v>
      </c>
      <c r="G76" s="280" t="n">
        <v>0</v>
      </c>
      <c r="H76" s="280" t="n">
        <v>0</v>
      </c>
      <c r="I76" s="280" t="n">
        <v>0</v>
      </c>
      <c r="J76" s="280" t="n">
        <v>0</v>
      </c>
      <c r="K76" s="280"/>
      <c r="L76" s="280" t="s">
        <v>720</v>
      </c>
      <c r="M76" s="280" t="s">
        <v>522</v>
      </c>
      <c r="N76" s="280" t="s">
        <v>721</v>
      </c>
      <c r="O76" s="280" t="s">
        <v>782</v>
      </c>
      <c r="P76" s="280" t="s">
        <v>783</v>
      </c>
      <c r="Q76" s="280" t="s">
        <v>784</v>
      </c>
      <c r="R76" s="280" t="s">
        <v>712</v>
      </c>
      <c r="S76" s="280" t="s">
        <v>785</v>
      </c>
      <c r="T76" s="280" t="s">
        <v>786</v>
      </c>
      <c r="U76" s="280" t="s">
        <v>31</v>
      </c>
      <c r="V76" s="280" t="s">
        <v>522</v>
      </c>
      <c r="W76" s="280" t="s">
        <v>547</v>
      </c>
      <c r="X76" s="280" t="n">
        <f aca="false">IF($W76="Critical Importance",20,IF($W76="Minor Importance",5,10))</f>
        <v>5</v>
      </c>
    </row>
    <row r="77" customFormat="false" ht="179.1" hidden="false" customHeight="false" outlineLevel="0" collapsed="false">
      <c r="A77" s="280" t="s">
        <v>171</v>
      </c>
      <c r="B77" s="280" t="s">
        <v>787</v>
      </c>
      <c r="C77" s="280" t="n">
        <v>0</v>
      </c>
      <c r="D77" s="280" t="n">
        <v>0</v>
      </c>
      <c r="E77" s="280" t="n">
        <v>0</v>
      </c>
      <c r="F77" s="280" t="n">
        <v>1</v>
      </c>
      <c r="G77" s="280" t="n">
        <v>0</v>
      </c>
      <c r="H77" s="280" t="n">
        <v>0</v>
      </c>
      <c r="I77" s="280" t="n">
        <v>0</v>
      </c>
      <c r="J77" s="280" t="n">
        <v>0</v>
      </c>
      <c r="K77" s="280"/>
      <c r="L77" s="280" t="s">
        <v>720</v>
      </c>
      <c r="M77" s="280" t="s">
        <v>522</v>
      </c>
      <c r="N77" s="280" t="s">
        <v>721</v>
      </c>
      <c r="O77" s="280"/>
      <c r="P77" s="280" t="s">
        <v>788</v>
      </c>
      <c r="Q77" s="280" t="s">
        <v>789</v>
      </c>
      <c r="R77" s="280"/>
      <c r="S77" s="280" t="s">
        <v>790</v>
      </c>
      <c r="T77" s="280" t="s">
        <v>791</v>
      </c>
      <c r="U77" s="280" t="s">
        <v>31</v>
      </c>
      <c r="V77" s="280" t="s">
        <v>522</v>
      </c>
      <c r="W77" s="280" t="s">
        <v>547</v>
      </c>
      <c r="X77" s="280" t="n">
        <f aca="false">IF($W77="Critical Importance",20,IF($W77="Minor Importance",5,10))</f>
        <v>5</v>
      </c>
    </row>
    <row r="78" customFormat="false" ht="204.45" hidden="false" customHeight="false" outlineLevel="0" collapsed="false">
      <c r="A78" s="280" t="s">
        <v>116</v>
      </c>
      <c r="B78" s="280" t="s">
        <v>792</v>
      </c>
      <c r="C78" s="280" t="n">
        <v>0</v>
      </c>
      <c r="D78" s="280" t="n">
        <v>0</v>
      </c>
      <c r="E78" s="280" t="n">
        <v>1</v>
      </c>
      <c r="F78" s="280" t="n">
        <v>0</v>
      </c>
      <c r="G78" s="280" t="n">
        <v>0</v>
      </c>
      <c r="H78" s="280" t="n">
        <v>0</v>
      </c>
      <c r="I78" s="280" t="n">
        <v>0</v>
      </c>
      <c r="J78" s="280" t="n">
        <v>1</v>
      </c>
      <c r="K78" s="280"/>
      <c r="L78" s="280" t="s">
        <v>500</v>
      </c>
      <c r="M78" s="280" t="s">
        <v>522</v>
      </c>
      <c r="N78" s="280" t="s">
        <v>721</v>
      </c>
      <c r="O78" s="280" t="s">
        <v>793</v>
      </c>
      <c r="P78" s="280" t="s">
        <v>794</v>
      </c>
      <c r="Q78" s="280" t="s">
        <v>795</v>
      </c>
      <c r="R78" s="280"/>
      <c r="S78" s="280" t="s">
        <v>796</v>
      </c>
      <c r="T78" s="280" t="s">
        <v>797</v>
      </c>
      <c r="U78" s="280" t="s">
        <v>31</v>
      </c>
      <c r="V78" s="280" t="s">
        <v>522</v>
      </c>
      <c r="W78" s="280" t="s">
        <v>538</v>
      </c>
      <c r="X78" s="280" t="n">
        <f aca="false">IF($W78="Critical Importance",20,IF($W78="Minor Importance",5,10))</f>
        <v>20</v>
      </c>
    </row>
    <row r="79" customFormat="false" ht="179.1" hidden="false" customHeight="false" outlineLevel="0" collapsed="false">
      <c r="A79" s="280" t="s">
        <v>117</v>
      </c>
      <c r="B79" s="280" t="s">
        <v>798</v>
      </c>
      <c r="C79" s="280" t="n">
        <v>0</v>
      </c>
      <c r="D79" s="280" t="n">
        <v>0</v>
      </c>
      <c r="E79" s="280" t="n">
        <v>1</v>
      </c>
      <c r="F79" s="280" t="n">
        <v>0</v>
      </c>
      <c r="G79" s="280" t="n">
        <v>0</v>
      </c>
      <c r="H79" s="280" t="n">
        <v>0</v>
      </c>
      <c r="I79" s="280" t="n">
        <v>0</v>
      </c>
      <c r="J79" s="280" t="n">
        <v>1</v>
      </c>
      <c r="K79" s="280"/>
      <c r="L79" s="280" t="s">
        <v>500</v>
      </c>
      <c r="M79" s="280" t="s">
        <v>522</v>
      </c>
      <c r="N79" s="280" t="s">
        <v>721</v>
      </c>
      <c r="O79" s="280"/>
      <c r="P79" s="280" t="s">
        <v>799</v>
      </c>
      <c r="Q79" s="280" t="s">
        <v>800</v>
      </c>
      <c r="R79" s="280"/>
      <c r="S79" s="280" t="s">
        <v>801</v>
      </c>
      <c r="T79" s="280" t="s">
        <v>802</v>
      </c>
      <c r="U79" s="280" t="s">
        <v>31</v>
      </c>
      <c r="V79" s="280" t="s">
        <v>522</v>
      </c>
      <c r="W79" s="280" t="s">
        <v>538</v>
      </c>
      <c r="X79" s="280" t="n">
        <f aca="false">IF($W79="Critical Importance",20,IF($W79="Minor Importance",5,10))</f>
        <v>20</v>
      </c>
    </row>
    <row r="80" customFormat="false" ht="153.7" hidden="false" customHeight="false" outlineLevel="0" collapsed="false">
      <c r="A80" s="280" t="s">
        <v>118</v>
      </c>
      <c r="B80" s="280" t="s">
        <v>803</v>
      </c>
      <c r="C80" s="280" t="n">
        <v>0</v>
      </c>
      <c r="D80" s="280" t="n">
        <v>0</v>
      </c>
      <c r="E80" s="280" t="n">
        <v>1</v>
      </c>
      <c r="F80" s="280" t="n">
        <v>0</v>
      </c>
      <c r="G80" s="280" t="n">
        <v>0</v>
      </c>
      <c r="H80" s="280" t="n">
        <v>0</v>
      </c>
      <c r="I80" s="280" t="n">
        <v>0</v>
      </c>
      <c r="J80" s="280" t="n">
        <v>0</v>
      </c>
      <c r="K80" s="280"/>
      <c r="L80" s="280" t="s">
        <v>500</v>
      </c>
      <c r="M80" s="280" t="s">
        <v>522</v>
      </c>
      <c r="N80" s="280" t="s">
        <v>721</v>
      </c>
      <c r="O80" s="280"/>
      <c r="P80" s="280" t="s">
        <v>804</v>
      </c>
      <c r="Q80" s="280" t="s">
        <v>805</v>
      </c>
      <c r="R80" s="280"/>
      <c r="S80" s="280" t="s">
        <v>806</v>
      </c>
      <c r="T80" s="280" t="s">
        <v>807</v>
      </c>
      <c r="U80" s="280" t="s">
        <v>31</v>
      </c>
      <c r="V80" s="280" t="s">
        <v>522</v>
      </c>
      <c r="W80" s="280" t="s">
        <v>538</v>
      </c>
      <c r="X80" s="280" t="n">
        <f aca="false">IF($W80="Critical Importance",20,IF($W80="Minor Importance",5,10))</f>
        <v>20</v>
      </c>
    </row>
    <row r="81" customFormat="false" ht="153.7" hidden="false" customHeight="false" outlineLevel="0" collapsed="false">
      <c r="A81" s="280" t="s">
        <v>119</v>
      </c>
      <c r="B81" s="280" t="s">
        <v>808</v>
      </c>
      <c r="C81" s="280" t="n">
        <v>0</v>
      </c>
      <c r="D81" s="280" t="n">
        <v>0</v>
      </c>
      <c r="E81" s="280" t="n">
        <v>1</v>
      </c>
      <c r="F81" s="280" t="n">
        <v>0</v>
      </c>
      <c r="G81" s="280" t="n">
        <v>0</v>
      </c>
      <c r="H81" s="280" t="n">
        <v>0</v>
      </c>
      <c r="I81" s="280" t="n">
        <v>0</v>
      </c>
      <c r="J81" s="280" t="n">
        <v>0</v>
      </c>
      <c r="K81" s="280"/>
      <c r="L81" s="280" t="s">
        <v>500</v>
      </c>
      <c r="M81" s="280" t="s">
        <v>522</v>
      </c>
      <c r="N81" s="280" t="s">
        <v>721</v>
      </c>
      <c r="O81" s="280" t="s">
        <v>809</v>
      </c>
      <c r="P81" s="280"/>
      <c r="Q81" s="280" t="s">
        <v>810</v>
      </c>
      <c r="R81" s="280"/>
      <c r="S81" s="280" t="s">
        <v>806</v>
      </c>
      <c r="T81" s="280" t="s">
        <v>811</v>
      </c>
      <c r="U81" s="280" t="s">
        <v>26</v>
      </c>
      <c r="V81" s="280" t="s">
        <v>522</v>
      </c>
      <c r="W81" s="280" t="s">
        <v>538</v>
      </c>
      <c r="X81" s="280" t="n">
        <f aca="false">IF($W81="Critical Importance",20,IF($W81="Minor Importance",5,10))</f>
        <v>20</v>
      </c>
    </row>
    <row r="82" customFormat="false" ht="179.1" hidden="false" customHeight="false" outlineLevel="0" collapsed="false">
      <c r="A82" s="280" t="s">
        <v>120</v>
      </c>
      <c r="B82" s="280" t="s">
        <v>812</v>
      </c>
      <c r="C82" s="280" t="n">
        <v>0</v>
      </c>
      <c r="D82" s="280" t="n">
        <v>0</v>
      </c>
      <c r="E82" s="280" t="n">
        <v>1</v>
      </c>
      <c r="F82" s="280" t="n">
        <v>0</v>
      </c>
      <c r="G82" s="280" t="n">
        <v>0</v>
      </c>
      <c r="H82" s="280" t="n">
        <v>0</v>
      </c>
      <c r="I82" s="280" t="n">
        <v>0</v>
      </c>
      <c r="J82" s="280" t="n">
        <v>0</v>
      </c>
      <c r="K82" s="280"/>
      <c r="L82" s="280" t="s">
        <v>500</v>
      </c>
      <c r="M82" s="280" t="s">
        <v>522</v>
      </c>
      <c r="N82" s="280" t="s">
        <v>721</v>
      </c>
      <c r="O82" s="280"/>
      <c r="P82" s="280" t="s">
        <v>813</v>
      </c>
      <c r="Q82" s="280" t="s">
        <v>814</v>
      </c>
      <c r="R82" s="280"/>
      <c r="S82" s="280" t="s">
        <v>815</v>
      </c>
      <c r="T82" s="280" t="s">
        <v>816</v>
      </c>
      <c r="U82" s="280" t="s">
        <v>31</v>
      </c>
      <c r="V82" s="280" t="s">
        <v>522</v>
      </c>
      <c r="W82" s="280" t="s">
        <v>538</v>
      </c>
      <c r="X82" s="280" t="n">
        <f aca="false">IF($W82="Critical Importance",20,IF($W82="Minor Importance",5,10))</f>
        <v>20</v>
      </c>
    </row>
    <row r="83" customFormat="false" ht="153.7" hidden="false" customHeight="false" outlineLevel="0" collapsed="false">
      <c r="A83" s="280" t="s">
        <v>121</v>
      </c>
      <c r="B83" s="280" t="s">
        <v>817</v>
      </c>
      <c r="C83" s="280" t="n">
        <v>0</v>
      </c>
      <c r="D83" s="280" t="n">
        <v>0</v>
      </c>
      <c r="E83" s="280" t="n">
        <v>1</v>
      </c>
      <c r="F83" s="280" t="n">
        <v>0</v>
      </c>
      <c r="G83" s="280" t="n">
        <v>0</v>
      </c>
      <c r="H83" s="280" t="n">
        <v>0</v>
      </c>
      <c r="I83" s="280" t="n">
        <v>0</v>
      </c>
      <c r="J83" s="280" t="n">
        <v>0</v>
      </c>
      <c r="K83" s="280"/>
      <c r="L83" s="280" t="s">
        <v>500</v>
      </c>
      <c r="M83" s="280" t="s">
        <v>522</v>
      </c>
      <c r="N83" s="280" t="s">
        <v>721</v>
      </c>
      <c r="O83" s="280"/>
      <c r="P83" s="280" t="s">
        <v>818</v>
      </c>
      <c r="Q83" s="280" t="s">
        <v>819</v>
      </c>
      <c r="R83" s="280"/>
      <c r="S83" s="280" t="s">
        <v>820</v>
      </c>
      <c r="T83" s="280" t="s">
        <v>821</v>
      </c>
      <c r="U83" s="280" t="s">
        <v>31</v>
      </c>
      <c r="V83" s="280" t="s">
        <v>522</v>
      </c>
      <c r="W83" s="280" t="s">
        <v>538</v>
      </c>
      <c r="X83" s="280" t="n">
        <f aca="false">IF($W83="Critical Importance",20,IF($W83="Minor Importance",5,10))</f>
        <v>20</v>
      </c>
    </row>
    <row r="84" customFormat="false" ht="141" hidden="false" customHeight="false" outlineLevel="0" collapsed="false">
      <c r="A84" s="280" t="s">
        <v>122</v>
      </c>
      <c r="B84" s="280" t="s">
        <v>822</v>
      </c>
      <c r="C84" s="280" t="n">
        <v>0</v>
      </c>
      <c r="D84" s="280" t="n">
        <v>0</v>
      </c>
      <c r="E84" s="280" t="n">
        <v>1</v>
      </c>
      <c r="F84" s="280" t="n">
        <v>0</v>
      </c>
      <c r="G84" s="280" t="n">
        <v>0</v>
      </c>
      <c r="H84" s="280" t="n">
        <v>0</v>
      </c>
      <c r="I84" s="280" t="n">
        <v>0</v>
      </c>
      <c r="J84" s="280" t="n">
        <v>0</v>
      </c>
      <c r="K84" s="280"/>
      <c r="L84" s="280" t="s">
        <v>500</v>
      </c>
      <c r="M84" s="280" t="s">
        <v>522</v>
      </c>
      <c r="N84" s="280" t="s">
        <v>721</v>
      </c>
      <c r="O84" s="280"/>
      <c r="P84" s="280"/>
      <c r="Q84" s="280" t="s">
        <v>823</v>
      </c>
      <c r="R84" s="280"/>
      <c r="S84" s="280" t="s">
        <v>824</v>
      </c>
      <c r="T84" s="280" t="s">
        <v>825</v>
      </c>
      <c r="U84" s="280" t="s">
        <v>26</v>
      </c>
      <c r="V84" s="280" t="s">
        <v>522</v>
      </c>
      <c r="W84" s="280" t="s">
        <v>538</v>
      </c>
      <c r="X84" s="280" t="n">
        <f aca="false">IF($W84="Critical Importance",20,IF($W84="Minor Importance",5,10))</f>
        <v>20</v>
      </c>
    </row>
    <row r="85" customFormat="false" ht="90.25" hidden="false" customHeight="false" outlineLevel="0" collapsed="false">
      <c r="A85" s="280" t="s">
        <v>123</v>
      </c>
      <c r="B85" s="280" t="s">
        <v>826</v>
      </c>
      <c r="C85" s="280" t="n">
        <v>0</v>
      </c>
      <c r="D85" s="280" t="n">
        <v>0</v>
      </c>
      <c r="E85" s="280" t="n">
        <v>1</v>
      </c>
      <c r="F85" s="280" t="n">
        <v>0</v>
      </c>
      <c r="G85" s="280" t="n">
        <v>0</v>
      </c>
      <c r="H85" s="280" t="n">
        <v>0</v>
      </c>
      <c r="I85" s="280" t="n">
        <v>0</v>
      </c>
      <c r="J85" s="280" t="n">
        <v>0</v>
      </c>
      <c r="K85" s="280"/>
      <c r="L85" s="280" t="s">
        <v>500</v>
      </c>
      <c r="M85" s="280" t="s">
        <v>522</v>
      </c>
      <c r="N85" s="280" t="s">
        <v>721</v>
      </c>
      <c r="O85" s="280"/>
      <c r="P85" s="280"/>
      <c r="Q85" s="280" t="s">
        <v>827</v>
      </c>
      <c r="R85" s="280"/>
      <c r="S85" s="280" t="s">
        <v>828</v>
      </c>
      <c r="T85" s="280" t="s">
        <v>829</v>
      </c>
      <c r="U85" s="280" t="s">
        <v>26</v>
      </c>
      <c r="V85" s="280" t="s">
        <v>522</v>
      </c>
      <c r="W85" s="280" t="s">
        <v>538</v>
      </c>
      <c r="X85" s="280" t="n">
        <f aca="false">IF($W85="Critical Importance",20,IF($W85="Minor Importance",5,10))</f>
        <v>20</v>
      </c>
    </row>
    <row r="86" customFormat="false" ht="217.15" hidden="false" customHeight="false" outlineLevel="0" collapsed="false">
      <c r="A86" s="280" t="s">
        <v>124</v>
      </c>
      <c r="B86" s="280" t="s">
        <v>830</v>
      </c>
      <c r="C86" s="280" t="n">
        <v>0</v>
      </c>
      <c r="D86" s="280" t="n">
        <v>0</v>
      </c>
      <c r="E86" s="280" t="n">
        <v>1</v>
      </c>
      <c r="F86" s="280" t="n">
        <v>0</v>
      </c>
      <c r="G86" s="280" t="n">
        <v>0</v>
      </c>
      <c r="H86" s="280" t="n">
        <v>0</v>
      </c>
      <c r="I86" s="280" t="n">
        <v>0</v>
      </c>
      <c r="J86" s="280" t="n">
        <v>1</v>
      </c>
      <c r="K86" s="280"/>
      <c r="L86" s="280" t="s">
        <v>500</v>
      </c>
      <c r="M86" s="280" t="s">
        <v>522</v>
      </c>
      <c r="N86" s="280" t="s">
        <v>721</v>
      </c>
      <c r="O86" s="280"/>
      <c r="P86" s="280" t="s">
        <v>831</v>
      </c>
      <c r="Q86" s="280"/>
      <c r="R86" s="280"/>
      <c r="S86" s="280" t="s">
        <v>832</v>
      </c>
      <c r="T86" s="280" t="s">
        <v>833</v>
      </c>
      <c r="U86" s="280" t="s">
        <v>31</v>
      </c>
      <c r="V86" s="280" t="s">
        <v>522</v>
      </c>
      <c r="W86" s="280" t="s">
        <v>538</v>
      </c>
      <c r="X86" s="280" t="n">
        <f aca="false">IF($W86="Critical Importance",20,IF($W86="Minor Importance",5,10))</f>
        <v>20</v>
      </c>
    </row>
    <row r="87" customFormat="false" ht="267.9" hidden="false" customHeight="false" outlineLevel="0" collapsed="false">
      <c r="A87" s="280" t="s">
        <v>125</v>
      </c>
      <c r="B87" s="280" t="s">
        <v>834</v>
      </c>
      <c r="C87" s="280" t="n">
        <v>0</v>
      </c>
      <c r="D87" s="280" t="n">
        <v>0</v>
      </c>
      <c r="E87" s="280" t="n">
        <v>1</v>
      </c>
      <c r="F87" s="280" t="n">
        <v>0</v>
      </c>
      <c r="G87" s="280" t="n">
        <v>0</v>
      </c>
      <c r="H87" s="280" t="n">
        <v>0</v>
      </c>
      <c r="I87" s="280" t="n">
        <v>0</v>
      </c>
      <c r="J87" s="280" t="n">
        <v>0</v>
      </c>
      <c r="K87" s="280"/>
      <c r="L87" s="280" t="s">
        <v>520</v>
      </c>
      <c r="M87" s="280" t="s">
        <v>522</v>
      </c>
      <c r="N87" s="280" t="s">
        <v>721</v>
      </c>
      <c r="O87" s="280" t="s">
        <v>835</v>
      </c>
      <c r="P87" s="280" t="s">
        <v>835</v>
      </c>
      <c r="Q87" s="280" t="s">
        <v>835</v>
      </c>
      <c r="R87" s="280"/>
      <c r="S87" s="280" t="s">
        <v>836</v>
      </c>
      <c r="T87" s="280" t="s">
        <v>833</v>
      </c>
      <c r="U87" s="280" t="s">
        <v>520</v>
      </c>
      <c r="V87" s="280" t="s">
        <v>522</v>
      </c>
      <c r="W87" s="280"/>
      <c r="X87" s="280"/>
    </row>
    <row r="88" customFormat="false" ht="204.45" hidden="false" customHeight="false" outlineLevel="0" collapsed="false">
      <c r="A88" s="280" t="s">
        <v>126</v>
      </c>
      <c r="B88" s="280" t="s">
        <v>837</v>
      </c>
      <c r="C88" s="280" t="n">
        <v>0</v>
      </c>
      <c r="D88" s="280" t="n">
        <v>0</v>
      </c>
      <c r="E88" s="280" t="n">
        <v>1</v>
      </c>
      <c r="F88" s="280" t="n">
        <v>0</v>
      </c>
      <c r="G88" s="280" t="n">
        <v>0</v>
      </c>
      <c r="H88" s="280" t="n">
        <v>0</v>
      </c>
      <c r="I88" s="280" t="n">
        <v>0</v>
      </c>
      <c r="J88" s="280" t="n">
        <v>1</v>
      </c>
      <c r="K88" s="280"/>
      <c r="L88" s="280" t="s">
        <v>500</v>
      </c>
      <c r="M88" s="280" t="s">
        <v>522</v>
      </c>
      <c r="N88" s="280" t="s">
        <v>721</v>
      </c>
      <c r="O88" s="280" t="s">
        <v>838</v>
      </c>
      <c r="P88" s="280" t="s">
        <v>838</v>
      </c>
      <c r="Q88" s="280" t="s">
        <v>838</v>
      </c>
      <c r="R88" s="280"/>
      <c r="S88" s="280" t="s">
        <v>839</v>
      </c>
      <c r="T88" s="280" t="s">
        <v>840</v>
      </c>
      <c r="U88" s="280" t="s">
        <v>31</v>
      </c>
      <c r="V88" s="280" t="s">
        <v>522</v>
      </c>
      <c r="W88" s="280" t="s">
        <v>538</v>
      </c>
      <c r="X88" s="280" t="n">
        <f aca="false">IF($W88="Critical Importance",20,IF($W88="Minor Importance",5,10))</f>
        <v>20</v>
      </c>
    </row>
    <row r="89" customFormat="false" ht="267.9" hidden="false" customHeight="false" outlineLevel="0" collapsed="false">
      <c r="A89" s="280" t="s">
        <v>127</v>
      </c>
      <c r="B89" s="280" t="s">
        <v>841</v>
      </c>
      <c r="C89" s="280" t="n">
        <v>0</v>
      </c>
      <c r="D89" s="280" t="n">
        <v>0</v>
      </c>
      <c r="E89" s="280" t="n">
        <v>1</v>
      </c>
      <c r="F89" s="280" t="n">
        <v>0</v>
      </c>
      <c r="G89" s="280" t="n">
        <v>0</v>
      </c>
      <c r="H89" s="280" t="n">
        <v>0</v>
      </c>
      <c r="I89" s="280" t="n">
        <v>0</v>
      </c>
      <c r="J89" s="280" t="n">
        <v>0</v>
      </c>
      <c r="K89" s="280"/>
      <c r="L89" s="280" t="s">
        <v>500</v>
      </c>
      <c r="M89" s="280" t="s">
        <v>522</v>
      </c>
      <c r="N89" s="280" t="s">
        <v>721</v>
      </c>
      <c r="O89" s="280"/>
      <c r="P89" s="280" t="s">
        <v>842</v>
      </c>
      <c r="Q89" s="280" t="s">
        <v>843</v>
      </c>
      <c r="R89" s="280"/>
      <c r="S89" s="280" t="s">
        <v>844</v>
      </c>
      <c r="T89" s="280" t="s">
        <v>845</v>
      </c>
      <c r="U89" s="280" t="s">
        <v>31</v>
      </c>
      <c r="V89" s="280" t="s">
        <v>522</v>
      </c>
      <c r="W89" s="280" t="s">
        <v>594</v>
      </c>
      <c r="X89" s="280" t="n">
        <f aca="false">IF($W89="Critical Importance",20,IF($W89="Minor Importance",5,10))</f>
        <v>10</v>
      </c>
    </row>
    <row r="90" customFormat="false" ht="128.25" hidden="false" customHeight="false" outlineLevel="0" collapsed="false">
      <c r="A90" s="280" t="s">
        <v>128</v>
      </c>
      <c r="B90" s="280" t="s">
        <v>846</v>
      </c>
      <c r="C90" s="280" t="n">
        <v>0</v>
      </c>
      <c r="D90" s="280" t="n">
        <v>0</v>
      </c>
      <c r="E90" s="280" t="n">
        <v>1</v>
      </c>
      <c r="F90" s="280" t="n">
        <v>0</v>
      </c>
      <c r="G90" s="280" t="n">
        <v>0</v>
      </c>
      <c r="H90" s="280" t="n">
        <v>0</v>
      </c>
      <c r="I90" s="280" t="n">
        <v>0</v>
      </c>
      <c r="J90" s="280" t="n">
        <v>0</v>
      </c>
      <c r="K90" s="280"/>
      <c r="L90" s="280" t="s">
        <v>500</v>
      </c>
      <c r="M90" s="280" t="s">
        <v>522</v>
      </c>
      <c r="N90" s="280" t="s">
        <v>721</v>
      </c>
      <c r="O90" s="280"/>
      <c r="P90" s="280" t="s">
        <v>847</v>
      </c>
      <c r="Q90" s="280"/>
      <c r="R90" s="280"/>
      <c r="S90" s="280" t="s">
        <v>848</v>
      </c>
      <c r="T90" s="280" t="s">
        <v>849</v>
      </c>
      <c r="U90" s="280" t="s">
        <v>31</v>
      </c>
      <c r="V90" s="280" t="s">
        <v>522</v>
      </c>
      <c r="W90" s="280" t="s">
        <v>594</v>
      </c>
      <c r="X90" s="280" t="n">
        <f aca="false">IF($W90="Critical Importance",20,IF($W90="Minor Importance",5,10))</f>
        <v>10</v>
      </c>
    </row>
    <row r="91" customFormat="false" ht="242.25" hidden="false" customHeight="false" outlineLevel="0" collapsed="false">
      <c r="A91" s="280" t="s">
        <v>129</v>
      </c>
      <c r="B91" s="280" t="s">
        <v>850</v>
      </c>
      <c r="C91" s="280" t="n">
        <v>0</v>
      </c>
      <c r="D91" s="280" t="n">
        <v>0</v>
      </c>
      <c r="E91" s="280" t="n">
        <v>1</v>
      </c>
      <c r="F91" s="280" t="n">
        <v>0</v>
      </c>
      <c r="G91" s="280" t="n">
        <v>0</v>
      </c>
      <c r="H91" s="280" t="n">
        <v>0</v>
      </c>
      <c r="I91" s="280" t="n">
        <v>0</v>
      </c>
      <c r="J91" s="280" t="n">
        <v>0</v>
      </c>
      <c r="K91" s="280"/>
      <c r="L91" s="280" t="s">
        <v>500</v>
      </c>
      <c r="M91" s="280" t="s">
        <v>522</v>
      </c>
      <c r="N91" s="280" t="s">
        <v>721</v>
      </c>
      <c r="O91" s="280"/>
      <c r="P91" s="280" t="s">
        <v>851</v>
      </c>
      <c r="Q91" s="280" t="s">
        <v>852</v>
      </c>
      <c r="R91" s="280"/>
      <c r="S91" s="280" t="s">
        <v>853</v>
      </c>
      <c r="T91" s="280" t="s">
        <v>854</v>
      </c>
      <c r="U91" s="280" t="s">
        <v>31</v>
      </c>
      <c r="V91" s="280" t="s">
        <v>522</v>
      </c>
      <c r="W91" s="280" t="s">
        <v>594</v>
      </c>
      <c r="X91" s="280" t="n">
        <f aca="false">IF($W91="Critical Importance",20,IF($W91="Minor Importance",5,10))</f>
        <v>10</v>
      </c>
    </row>
    <row r="92" customFormat="false" ht="204.45" hidden="false" customHeight="false" outlineLevel="0" collapsed="false">
      <c r="A92" s="280" t="s">
        <v>130</v>
      </c>
      <c r="B92" s="280" t="s">
        <v>855</v>
      </c>
      <c r="C92" s="280" t="n">
        <v>0</v>
      </c>
      <c r="D92" s="280" t="n">
        <v>0</v>
      </c>
      <c r="E92" s="280" t="n">
        <v>1</v>
      </c>
      <c r="F92" s="280" t="n">
        <v>0</v>
      </c>
      <c r="G92" s="280" t="n">
        <v>0</v>
      </c>
      <c r="H92" s="280" t="n">
        <v>0</v>
      </c>
      <c r="I92" s="280" t="n">
        <v>0</v>
      </c>
      <c r="J92" s="280" t="n">
        <v>0</v>
      </c>
      <c r="K92" s="280"/>
      <c r="L92" s="280" t="s">
        <v>500</v>
      </c>
      <c r="M92" s="280" t="s">
        <v>522</v>
      </c>
      <c r="N92" s="280" t="s">
        <v>721</v>
      </c>
      <c r="O92" s="280" t="s">
        <v>856</v>
      </c>
      <c r="P92" s="280" t="s">
        <v>857</v>
      </c>
      <c r="Q92" s="280" t="s">
        <v>858</v>
      </c>
      <c r="R92" s="280"/>
      <c r="S92" s="280" t="s">
        <v>796</v>
      </c>
      <c r="T92" s="280" t="s">
        <v>797</v>
      </c>
      <c r="U92" s="280" t="s">
        <v>31</v>
      </c>
      <c r="V92" s="280" t="s">
        <v>522</v>
      </c>
      <c r="W92" s="280" t="s">
        <v>547</v>
      </c>
      <c r="X92" s="280" t="n">
        <f aca="false">IF($W92="Critical Importance",20,IF($W92="Minor Importance",5,10))</f>
        <v>5</v>
      </c>
    </row>
    <row r="93" customFormat="false" ht="128.25" hidden="false" customHeight="false" outlineLevel="0" collapsed="false">
      <c r="A93" s="280" t="s">
        <v>131</v>
      </c>
      <c r="B93" s="280" t="s">
        <v>859</v>
      </c>
      <c r="C93" s="280" t="n">
        <v>0</v>
      </c>
      <c r="D93" s="280" t="n">
        <v>0</v>
      </c>
      <c r="E93" s="280" t="n">
        <v>1</v>
      </c>
      <c r="F93" s="280" t="n">
        <v>0</v>
      </c>
      <c r="G93" s="280" t="n">
        <v>0</v>
      </c>
      <c r="H93" s="280" t="n">
        <v>0</v>
      </c>
      <c r="I93" s="280" t="n">
        <v>0</v>
      </c>
      <c r="J93" s="280" t="n">
        <v>0</v>
      </c>
      <c r="K93" s="280"/>
      <c r="L93" s="280" t="s">
        <v>500</v>
      </c>
      <c r="M93" s="280" t="s">
        <v>522</v>
      </c>
      <c r="N93" s="280" t="s">
        <v>721</v>
      </c>
      <c r="O93" s="280"/>
      <c r="P93" s="280" t="s">
        <v>860</v>
      </c>
      <c r="Q93" s="280"/>
      <c r="R93" s="280"/>
      <c r="S93" s="280" t="s">
        <v>848</v>
      </c>
      <c r="T93" s="280" t="s">
        <v>861</v>
      </c>
      <c r="U93" s="280" t="s">
        <v>31</v>
      </c>
      <c r="V93" s="280" t="s">
        <v>522</v>
      </c>
      <c r="W93" s="280" t="s">
        <v>547</v>
      </c>
      <c r="X93" s="280" t="n">
        <f aca="false">IF($W93="Critical Importance",20,IF($W93="Minor Importance",5,10))</f>
        <v>5</v>
      </c>
    </row>
    <row r="94" customFormat="false" ht="191.75" hidden="false" customHeight="false" outlineLevel="0" collapsed="false">
      <c r="A94" s="280" t="s">
        <v>132</v>
      </c>
      <c r="B94" s="280" t="s">
        <v>862</v>
      </c>
      <c r="C94" s="280" t="n">
        <v>0</v>
      </c>
      <c r="D94" s="280" t="n">
        <v>0</v>
      </c>
      <c r="E94" s="280" t="n">
        <v>1</v>
      </c>
      <c r="F94" s="280" t="n">
        <v>0</v>
      </c>
      <c r="G94" s="280" t="n">
        <v>0</v>
      </c>
      <c r="H94" s="280" t="n">
        <v>0</v>
      </c>
      <c r="I94" s="280" t="n">
        <v>0</v>
      </c>
      <c r="J94" s="280" t="n">
        <v>1</v>
      </c>
      <c r="K94" s="280"/>
      <c r="L94" s="280" t="s">
        <v>500</v>
      </c>
      <c r="M94" s="280" t="s">
        <v>522</v>
      </c>
      <c r="N94" s="280" t="s">
        <v>721</v>
      </c>
      <c r="O94" s="280"/>
      <c r="P94" s="280" t="s">
        <v>863</v>
      </c>
      <c r="Q94" s="280" t="s">
        <v>864</v>
      </c>
      <c r="R94" s="280"/>
      <c r="S94" s="280" t="s">
        <v>865</v>
      </c>
      <c r="T94" s="280" t="s">
        <v>866</v>
      </c>
      <c r="U94" s="280" t="s">
        <v>31</v>
      </c>
      <c r="V94" s="280" t="s">
        <v>522</v>
      </c>
      <c r="W94" s="280" t="s">
        <v>547</v>
      </c>
      <c r="X94" s="280" t="n">
        <f aca="false">IF($W94="Critical Importance",20,IF($W94="Minor Importance",5,10))</f>
        <v>5</v>
      </c>
    </row>
    <row r="95" customFormat="false" ht="64.9" hidden="false" customHeight="false" outlineLevel="0" collapsed="false">
      <c r="A95" s="280" t="s">
        <v>133</v>
      </c>
      <c r="B95" s="280" t="s">
        <v>867</v>
      </c>
      <c r="C95" s="280" t="n">
        <v>0</v>
      </c>
      <c r="D95" s="280" t="n">
        <v>0</v>
      </c>
      <c r="E95" s="280" t="n">
        <v>1</v>
      </c>
      <c r="F95" s="280" t="n">
        <v>0</v>
      </c>
      <c r="G95" s="280" t="n">
        <v>0</v>
      </c>
      <c r="H95" s="280" t="n">
        <v>0</v>
      </c>
      <c r="I95" s="280" t="n">
        <v>0</v>
      </c>
      <c r="J95" s="280" t="n">
        <v>1</v>
      </c>
      <c r="K95" s="280"/>
      <c r="L95" s="280" t="s">
        <v>500</v>
      </c>
      <c r="M95" s="280" t="s">
        <v>522</v>
      </c>
      <c r="N95" s="280" t="s">
        <v>721</v>
      </c>
      <c r="O95" s="280"/>
      <c r="P95" s="280" t="s">
        <v>868</v>
      </c>
      <c r="Q95" s="280" t="s">
        <v>869</v>
      </c>
      <c r="R95" s="280"/>
      <c r="S95" s="280" t="s">
        <v>870</v>
      </c>
      <c r="T95" s="280" t="s">
        <v>871</v>
      </c>
      <c r="U95" s="280" t="s">
        <v>31</v>
      </c>
      <c r="V95" s="280" t="s">
        <v>522</v>
      </c>
      <c r="W95" s="280" t="s">
        <v>547</v>
      </c>
      <c r="X95" s="280" t="n">
        <f aca="false">IF($W95="Critical Importance",20,IF($W95="Minor Importance",5,10))</f>
        <v>5</v>
      </c>
    </row>
    <row r="96" customFormat="false" ht="141" hidden="false" customHeight="false" outlineLevel="0" collapsed="false">
      <c r="A96" s="282" t="s">
        <v>71</v>
      </c>
      <c r="B96" s="280" t="s">
        <v>872</v>
      </c>
      <c r="C96" s="280" t="n">
        <v>0</v>
      </c>
      <c r="D96" s="280" t="n">
        <v>1</v>
      </c>
      <c r="E96" s="280" t="n">
        <v>0</v>
      </c>
      <c r="F96" s="280" t="n">
        <v>0</v>
      </c>
      <c r="G96" s="280" t="n">
        <v>0</v>
      </c>
      <c r="H96" s="280" t="n">
        <v>0</v>
      </c>
      <c r="I96" s="280" t="n">
        <v>0</v>
      </c>
      <c r="J96" s="280" t="n">
        <v>0</v>
      </c>
      <c r="K96" s="280"/>
      <c r="L96" s="280" t="s">
        <v>587</v>
      </c>
      <c r="M96" s="280" t="s">
        <v>522</v>
      </c>
      <c r="N96" s="280"/>
      <c r="O96" s="280"/>
      <c r="P96" s="280" t="s">
        <v>873</v>
      </c>
      <c r="Q96" s="280" t="s">
        <v>874</v>
      </c>
      <c r="R96" s="280"/>
      <c r="S96" s="280" t="s">
        <v>875</v>
      </c>
      <c r="T96" s="280" t="s">
        <v>876</v>
      </c>
      <c r="U96" s="280" t="s">
        <v>31</v>
      </c>
      <c r="V96" s="280" t="s">
        <v>522</v>
      </c>
      <c r="W96" s="280" t="s">
        <v>538</v>
      </c>
      <c r="X96" s="280" t="n">
        <f aca="false">IF($W96="Critical Importance",20,IF($W96="Minor Importance",5,10))</f>
        <v>20</v>
      </c>
    </row>
    <row r="97" customFormat="false" ht="191.75" hidden="false" customHeight="false" outlineLevel="0" collapsed="false">
      <c r="A97" s="282" t="s">
        <v>72</v>
      </c>
      <c r="B97" s="280" t="s">
        <v>877</v>
      </c>
      <c r="C97" s="280" t="n">
        <v>0</v>
      </c>
      <c r="D97" s="280" t="n">
        <v>1</v>
      </c>
      <c r="E97" s="280" t="n">
        <v>0</v>
      </c>
      <c r="F97" s="280" t="n">
        <v>0</v>
      </c>
      <c r="G97" s="280" t="n">
        <v>0</v>
      </c>
      <c r="H97" s="280" t="n">
        <v>0</v>
      </c>
      <c r="I97" s="280" t="n">
        <v>0</v>
      </c>
      <c r="J97" s="280" t="n">
        <v>0</v>
      </c>
      <c r="K97" s="280"/>
      <c r="L97" s="280" t="s">
        <v>587</v>
      </c>
      <c r="M97" s="280" t="s">
        <v>522</v>
      </c>
      <c r="N97" s="280"/>
      <c r="O97" s="280" t="s">
        <v>878</v>
      </c>
      <c r="P97" s="280" t="s">
        <v>879</v>
      </c>
      <c r="Q97" s="280" t="s">
        <v>880</v>
      </c>
      <c r="R97" s="280" t="s">
        <v>712</v>
      </c>
      <c r="S97" s="280" t="s">
        <v>881</v>
      </c>
      <c r="T97" s="280" t="s">
        <v>882</v>
      </c>
      <c r="U97" s="280" t="s">
        <v>31</v>
      </c>
      <c r="V97" s="280" t="s">
        <v>522</v>
      </c>
      <c r="W97" s="280" t="s">
        <v>538</v>
      </c>
      <c r="X97" s="280" t="n">
        <f aca="false">IF($W97="Critical Importance",20,IF($W97="Minor Importance",5,10))</f>
        <v>20</v>
      </c>
    </row>
    <row r="98" customFormat="false" ht="217.15" hidden="false" customHeight="false" outlineLevel="0" collapsed="false">
      <c r="A98" s="282" t="s">
        <v>75</v>
      </c>
      <c r="B98" s="280" t="s">
        <v>883</v>
      </c>
      <c r="C98" s="280" t="n">
        <v>0</v>
      </c>
      <c r="D98" s="280" t="n">
        <v>1</v>
      </c>
      <c r="E98" s="280" t="n">
        <v>0</v>
      </c>
      <c r="F98" s="280" t="n">
        <v>0</v>
      </c>
      <c r="G98" s="280" t="n">
        <v>0</v>
      </c>
      <c r="H98" s="280" t="n">
        <v>0</v>
      </c>
      <c r="I98" s="280" t="n">
        <v>0</v>
      </c>
      <c r="J98" s="280" t="n">
        <v>0</v>
      </c>
      <c r="K98" s="280"/>
      <c r="L98" s="280" t="s">
        <v>587</v>
      </c>
      <c r="M98" s="280" t="s">
        <v>522</v>
      </c>
      <c r="N98" s="280"/>
      <c r="O98" s="280"/>
      <c r="P98" s="280" t="s">
        <v>884</v>
      </c>
      <c r="Q98" s="280" t="s">
        <v>885</v>
      </c>
      <c r="R98" s="280" t="s">
        <v>712</v>
      </c>
      <c r="S98" s="280" t="s">
        <v>886</v>
      </c>
      <c r="T98" s="280" t="s">
        <v>887</v>
      </c>
      <c r="U98" s="280" t="s">
        <v>31</v>
      </c>
      <c r="V98" s="280" t="s">
        <v>522</v>
      </c>
      <c r="W98" s="280" t="s">
        <v>538</v>
      </c>
      <c r="X98" s="280" t="n">
        <f aca="false">IF($W98="Critical Importance",20,IF($W98="Minor Importance",5,10))</f>
        <v>20</v>
      </c>
    </row>
    <row r="99" customFormat="false" ht="141" hidden="false" customHeight="false" outlineLevel="0" collapsed="false">
      <c r="A99" s="282" t="s">
        <v>76</v>
      </c>
      <c r="B99" s="280" t="s">
        <v>888</v>
      </c>
      <c r="C99" s="280" t="n">
        <v>0</v>
      </c>
      <c r="D99" s="280" t="n">
        <v>1</v>
      </c>
      <c r="E99" s="280" t="n">
        <v>0</v>
      </c>
      <c r="F99" s="280" t="n">
        <v>0</v>
      </c>
      <c r="G99" s="280" t="n">
        <v>0</v>
      </c>
      <c r="H99" s="280" t="n">
        <v>0</v>
      </c>
      <c r="I99" s="280" t="n">
        <v>0</v>
      </c>
      <c r="J99" s="280" t="n">
        <v>1</v>
      </c>
      <c r="K99" s="280"/>
      <c r="L99" s="280" t="s">
        <v>587</v>
      </c>
      <c r="M99" s="280" t="s">
        <v>22</v>
      </c>
      <c r="N99" s="280"/>
      <c r="O99" s="280"/>
      <c r="P99" s="280" t="s">
        <v>610</v>
      </c>
      <c r="Q99" s="280" t="s">
        <v>889</v>
      </c>
      <c r="R99" s="280"/>
      <c r="S99" s="280" t="s">
        <v>890</v>
      </c>
      <c r="T99" s="280" t="s">
        <v>891</v>
      </c>
      <c r="U99" s="280" t="s">
        <v>31</v>
      </c>
      <c r="V99" s="280" t="s">
        <v>522</v>
      </c>
      <c r="W99" s="280" t="s">
        <v>594</v>
      </c>
      <c r="X99" s="280" t="n">
        <f aca="false">IF($W99="Critical Importance",20,IF($W99="Minor Importance",5,10))</f>
        <v>10</v>
      </c>
    </row>
    <row r="100" customFormat="false" ht="232.5" hidden="false" customHeight="true" outlineLevel="0" collapsed="false">
      <c r="A100" s="282" t="s">
        <v>77</v>
      </c>
      <c r="B100" s="280" t="s">
        <v>892</v>
      </c>
      <c r="C100" s="280" t="n">
        <v>0</v>
      </c>
      <c r="D100" s="280" t="n">
        <v>1</v>
      </c>
      <c r="E100" s="280" t="n">
        <v>0</v>
      </c>
      <c r="F100" s="280" t="n">
        <v>0</v>
      </c>
      <c r="G100" s="280" t="n">
        <v>0</v>
      </c>
      <c r="H100" s="280" t="n">
        <v>0</v>
      </c>
      <c r="I100" s="280" t="n">
        <v>0</v>
      </c>
      <c r="J100" s="280" t="n">
        <v>1</v>
      </c>
      <c r="K100" s="280"/>
      <c r="L100" s="280" t="s">
        <v>587</v>
      </c>
      <c r="M100" s="280" t="s">
        <v>522</v>
      </c>
      <c r="N100" s="280"/>
      <c r="O100" s="280"/>
      <c r="P100" s="280" t="s">
        <v>893</v>
      </c>
      <c r="Q100" s="280" t="s">
        <v>894</v>
      </c>
      <c r="R100" s="280"/>
      <c r="S100" s="280" t="s">
        <v>895</v>
      </c>
      <c r="T100" s="280" t="s">
        <v>896</v>
      </c>
      <c r="U100" s="280" t="s">
        <v>31</v>
      </c>
      <c r="V100" s="280" t="s">
        <v>522</v>
      </c>
      <c r="W100" s="280" t="s">
        <v>594</v>
      </c>
      <c r="X100" s="280" t="n">
        <f aca="false">IF($W100="Critical Importance",20,IF($W100="Minor Importance",5,10))</f>
        <v>10</v>
      </c>
    </row>
    <row r="101" customFormat="false" ht="139.5" hidden="false" customHeight="true" outlineLevel="0" collapsed="false">
      <c r="A101" s="282" t="s">
        <v>78</v>
      </c>
      <c r="B101" s="280" t="s">
        <v>897</v>
      </c>
      <c r="C101" s="280" t="n">
        <v>0</v>
      </c>
      <c r="D101" s="280" t="n">
        <v>1</v>
      </c>
      <c r="E101" s="280" t="n">
        <v>0</v>
      </c>
      <c r="F101" s="280" t="n">
        <v>0</v>
      </c>
      <c r="G101" s="280" t="n">
        <v>0</v>
      </c>
      <c r="H101" s="280" t="n">
        <v>0</v>
      </c>
      <c r="I101" s="280" t="n">
        <v>0</v>
      </c>
      <c r="J101" s="280" t="n">
        <v>0</v>
      </c>
      <c r="K101" s="280"/>
      <c r="L101" s="280" t="s">
        <v>587</v>
      </c>
      <c r="M101" s="280" t="s">
        <v>522</v>
      </c>
      <c r="N101" s="280"/>
      <c r="O101" s="280"/>
      <c r="P101" s="280" t="s">
        <v>898</v>
      </c>
      <c r="Q101" s="280" t="s">
        <v>899</v>
      </c>
      <c r="R101" s="280"/>
      <c r="S101" s="280" t="s">
        <v>900</v>
      </c>
      <c r="T101" s="280" t="s">
        <v>901</v>
      </c>
      <c r="U101" s="280" t="s">
        <v>31</v>
      </c>
      <c r="V101" s="280" t="s">
        <v>522</v>
      </c>
      <c r="W101" s="280" t="s">
        <v>594</v>
      </c>
      <c r="X101" s="280" t="n">
        <f aca="false">IF($W101="Critical Importance",20,IF($W101="Minor Importance",5,10))</f>
        <v>10</v>
      </c>
    </row>
    <row r="102" customFormat="false" ht="102.95" hidden="false" customHeight="false" outlineLevel="0" collapsed="false">
      <c r="A102" s="282" t="s">
        <v>79</v>
      </c>
      <c r="B102" s="280" t="s">
        <v>902</v>
      </c>
      <c r="C102" s="280" t="n">
        <v>0</v>
      </c>
      <c r="D102" s="280" t="n">
        <v>1</v>
      </c>
      <c r="E102" s="280" t="n">
        <v>0</v>
      </c>
      <c r="F102" s="280" t="n">
        <v>0</v>
      </c>
      <c r="G102" s="280" t="n">
        <v>0</v>
      </c>
      <c r="H102" s="280" t="n">
        <v>0</v>
      </c>
      <c r="I102" s="280" t="n">
        <v>0</v>
      </c>
      <c r="J102" s="280" t="n">
        <v>0</v>
      </c>
      <c r="K102" s="280"/>
      <c r="L102" s="280" t="s">
        <v>587</v>
      </c>
      <c r="M102" s="280" t="s">
        <v>522</v>
      </c>
      <c r="N102" s="280"/>
      <c r="O102" s="280"/>
      <c r="P102" s="280" t="s">
        <v>903</v>
      </c>
      <c r="Q102" s="280" t="s">
        <v>904</v>
      </c>
      <c r="R102" s="280"/>
      <c r="S102" s="280" t="s">
        <v>905</v>
      </c>
      <c r="T102" s="280" t="s">
        <v>906</v>
      </c>
      <c r="U102" s="280" t="s">
        <v>31</v>
      </c>
      <c r="V102" s="280" t="s">
        <v>522</v>
      </c>
      <c r="W102" s="280" t="s">
        <v>594</v>
      </c>
      <c r="X102" s="280" t="n">
        <f aca="false">IF($W102="Critical Importance",20,IF($W102="Minor Importance",5,10))</f>
        <v>10</v>
      </c>
    </row>
    <row r="103" customFormat="false" ht="214.5" hidden="false" customHeight="true" outlineLevel="0" collapsed="false">
      <c r="A103" s="282" t="s">
        <v>81</v>
      </c>
      <c r="B103" s="280" t="s">
        <v>907</v>
      </c>
      <c r="C103" s="280" t="n">
        <v>0</v>
      </c>
      <c r="D103" s="280" t="n">
        <v>1</v>
      </c>
      <c r="E103" s="280" t="n">
        <v>0</v>
      </c>
      <c r="F103" s="280" t="n">
        <v>0</v>
      </c>
      <c r="G103" s="280" t="n">
        <v>0</v>
      </c>
      <c r="H103" s="280" t="n">
        <v>0</v>
      </c>
      <c r="I103" s="280" t="n">
        <v>0</v>
      </c>
      <c r="J103" s="280" t="n">
        <v>0</v>
      </c>
      <c r="K103" s="280"/>
      <c r="L103" s="280" t="s">
        <v>587</v>
      </c>
      <c r="M103" s="280" t="s">
        <v>522</v>
      </c>
      <c r="N103" s="280"/>
      <c r="O103" s="280"/>
      <c r="P103" s="280" t="s">
        <v>908</v>
      </c>
      <c r="Q103" s="280" t="s">
        <v>909</v>
      </c>
      <c r="R103" s="280"/>
      <c r="S103" s="280" t="s">
        <v>910</v>
      </c>
      <c r="T103" s="280" t="s">
        <v>911</v>
      </c>
      <c r="U103" s="280" t="s">
        <v>31</v>
      </c>
      <c r="V103" s="280" t="s">
        <v>522</v>
      </c>
      <c r="W103" s="280" t="s">
        <v>594</v>
      </c>
      <c r="X103" s="280" t="n">
        <f aca="false">IF($W103="Critical Importance",20,IF($W103="Minor Importance",5,10))</f>
        <v>10</v>
      </c>
    </row>
    <row r="104" customFormat="false" ht="244.5" hidden="false" customHeight="true" outlineLevel="0" collapsed="false">
      <c r="A104" s="282" t="s">
        <v>82</v>
      </c>
      <c r="B104" s="280" t="s">
        <v>912</v>
      </c>
      <c r="C104" s="280" t="n">
        <v>0</v>
      </c>
      <c r="D104" s="280" t="n">
        <v>1</v>
      </c>
      <c r="E104" s="280" t="n">
        <v>0</v>
      </c>
      <c r="F104" s="280" t="n">
        <v>0</v>
      </c>
      <c r="G104" s="280" t="n">
        <v>0</v>
      </c>
      <c r="H104" s="280" t="n">
        <v>0</v>
      </c>
      <c r="I104" s="280" t="n">
        <v>0</v>
      </c>
      <c r="J104" s="280" t="n">
        <v>0</v>
      </c>
      <c r="K104" s="280"/>
      <c r="L104" s="280" t="s">
        <v>587</v>
      </c>
      <c r="M104" s="280" t="s">
        <v>522</v>
      </c>
      <c r="N104" s="280"/>
      <c r="O104" s="280"/>
      <c r="P104" s="280" t="s">
        <v>913</v>
      </c>
      <c r="Q104" s="280" t="s">
        <v>914</v>
      </c>
      <c r="R104" s="283" t="s">
        <v>915</v>
      </c>
      <c r="S104" s="280" t="s">
        <v>916</v>
      </c>
      <c r="T104" s="280" t="s">
        <v>917</v>
      </c>
      <c r="U104" s="280" t="s">
        <v>31</v>
      </c>
      <c r="V104" s="280" t="s">
        <v>522</v>
      </c>
      <c r="W104" s="280" t="s">
        <v>547</v>
      </c>
      <c r="X104" s="280" t="n">
        <f aca="false">IF($W104="Critical Importance",20,IF($W104="Minor Importance",5,10))</f>
        <v>5</v>
      </c>
    </row>
    <row r="105" customFormat="false" ht="128.25" hidden="false" customHeight="false" outlineLevel="0" collapsed="false">
      <c r="A105" s="282" t="s">
        <v>83</v>
      </c>
      <c r="B105" s="280" t="s">
        <v>918</v>
      </c>
      <c r="C105" s="280" t="n">
        <v>0</v>
      </c>
      <c r="D105" s="280" t="n">
        <v>1</v>
      </c>
      <c r="E105" s="280" t="n">
        <v>0</v>
      </c>
      <c r="F105" s="280" t="n">
        <v>0</v>
      </c>
      <c r="G105" s="280" t="n">
        <v>0</v>
      </c>
      <c r="H105" s="280" t="n">
        <v>0</v>
      </c>
      <c r="I105" s="280" t="n">
        <v>0</v>
      </c>
      <c r="J105" s="280" t="n">
        <v>0</v>
      </c>
      <c r="K105" s="280"/>
      <c r="L105" s="280" t="s">
        <v>587</v>
      </c>
      <c r="M105" s="280" t="s">
        <v>522</v>
      </c>
      <c r="N105" s="280"/>
      <c r="O105" s="280" t="s">
        <v>919</v>
      </c>
      <c r="P105" s="280" t="s">
        <v>920</v>
      </c>
      <c r="Q105" s="280" t="s">
        <v>921</v>
      </c>
      <c r="R105" s="283" t="s">
        <v>915</v>
      </c>
      <c r="S105" s="280" t="s">
        <v>922</v>
      </c>
      <c r="T105" s="280" t="s">
        <v>923</v>
      </c>
      <c r="U105" s="280" t="s">
        <v>31</v>
      </c>
      <c r="V105" s="280" t="s">
        <v>522</v>
      </c>
      <c r="W105" s="280" t="s">
        <v>547</v>
      </c>
      <c r="X105" s="280" t="n">
        <f aca="false">IF($W105="Critical Importance",20,IF($W105="Minor Importance",5,10))</f>
        <v>5</v>
      </c>
    </row>
    <row r="106" customFormat="false" ht="115.65" hidden="false" customHeight="false" outlineLevel="0" collapsed="false">
      <c r="A106" s="282" t="s">
        <v>85</v>
      </c>
      <c r="B106" s="280" t="s">
        <v>924</v>
      </c>
      <c r="C106" s="280" t="n">
        <v>0</v>
      </c>
      <c r="D106" s="280" t="n">
        <v>1</v>
      </c>
      <c r="E106" s="280" t="n">
        <v>0</v>
      </c>
      <c r="F106" s="280" t="n">
        <v>0</v>
      </c>
      <c r="G106" s="280" t="n">
        <v>0</v>
      </c>
      <c r="H106" s="280" t="n">
        <v>0</v>
      </c>
      <c r="I106" s="280" t="n">
        <v>0</v>
      </c>
      <c r="J106" s="280" t="n">
        <v>0</v>
      </c>
      <c r="K106" s="280"/>
      <c r="L106" s="280" t="s">
        <v>587</v>
      </c>
      <c r="M106" s="280" t="s">
        <v>522</v>
      </c>
      <c r="N106" s="280"/>
      <c r="O106" s="280"/>
      <c r="P106" s="280" t="s">
        <v>925</v>
      </c>
      <c r="Q106" s="280" t="s">
        <v>926</v>
      </c>
      <c r="R106" s="283" t="s">
        <v>915</v>
      </c>
      <c r="S106" s="280" t="s">
        <v>927</v>
      </c>
      <c r="T106" s="280" t="s">
        <v>928</v>
      </c>
      <c r="U106" s="280" t="s">
        <v>31</v>
      </c>
      <c r="V106" s="280" t="s">
        <v>522</v>
      </c>
      <c r="W106" s="280" t="s">
        <v>547</v>
      </c>
      <c r="X106" s="280" t="n">
        <f aca="false">IF($W106="Critical Importance",20,IF($W106="Minor Importance",5,10))</f>
        <v>5</v>
      </c>
    </row>
    <row r="107" customFormat="false" ht="77.6" hidden="false" customHeight="false" outlineLevel="0" collapsed="false">
      <c r="A107" s="282" t="s">
        <v>87</v>
      </c>
      <c r="B107" s="280" t="s">
        <v>929</v>
      </c>
      <c r="C107" s="280" t="n">
        <v>0</v>
      </c>
      <c r="D107" s="280" t="n">
        <v>1</v>
      </c>
      <c r="E107" s="280" t="n">
        <v>0</v>
      </c>
      <c r="F107" s="280" t="n">
        <v>0</v>
      </c>
      <c r="G107" s="280" t="n">
        <v>0</v>
      </c>
      <c r="H107" s="280" t="n">
        <v>0</v>
      </c>
      <c r="I107" s="280" t="n">
        <v>0</v>
      </c>
      <c r="J107" s="280" t="n">
        <v>0</v>
      </c>
      <c r="K107" s="280"/>
      <c r="L107" s="280" t="s">
        <v>587</v>
      </c>
      <c r="M107" s="280" t="s">
        <v>522</v>
      </c>
      <c r="N107" s="280"/>
      <c r="O107" s="280"/>
      <c r="P107" s="280" t="s">
        <v>930</v>
      </c>
      <c r="Q107" s="280" t="s">
        <v>931</v>
      </c>
      <c r="R107" s="280"/>
      <c r="S107" s="280" t="s">
        <v>932</v>
      </c>
      <c r="T107" s="280" t="s">
        <v>933</v>
      </c>
      <c r="U107" s="280" t="s">
        <v>31</v>
      </c>
      <c r="V107" s="280" t="s">
        <v>522</v>
      </c>
      <c r="W107" s="280" t="s">
        <v>547</v>
      </c>
      <c r="X107" s="280" t="n">
        <f aca="false">IF($W107="Critical Importance",20,IF($W107="Minor Importance",5,10))</f>
        <v>5</v>
      </c>
    </row>
    <row r="108" customFormat="false" ht="276.75" hidden="false" customHeight="true" outlineLevel="0" collapsed="false">
      <c r="A108" s="282" t="s">
        <v>89</v>
      </c>
      <c r="B108" s="280" t="s">
        <v>934</v>
      </c>
      <c r="C108" s="280" t="n">
        <v>0</v>
      </c>
      <c r="D108" s="280" t="n">
        <v>1</v>
      </c>
      <c r="E108" s="280" t="n">
        <v>0</v>
      </c>
      <c r="F108" s="280" t="n">
        <v>0</v>
      </c>
      <c r="G108" s="280" t="n">
        <v>0</v>
      </c>
      <c r="H108" s="280" t="n">
        <v>0</v>
      </c>
      <c r="I108" s="280" t="n">
        <v>0</v>
      </c>
      <c r="J108" s="280" t="n">
        <v>0</v>
      </c>
      <c r="K108" s="280"/>
      <c r="L108" s="280" t="s">
        <v>587</v>
      </c>
      <c r="M108" s="280" t="s">
        <v>522</v>
      </c>
      <c r="N108" s="280"/>
      <c r="O108" s="280"/>
      <c r="P108" s="280" t="s">
        <v>935</v>
      </c>
      <c r="Q108" s="280"/>
      <c r="R108" s="280"/>
      <c r="S108" s="280" t="s">
        <v>936</v>
      </c>
      <c r="T108" s="280" t="s">
        <v>937</v>
      </c>
      <c r="U108" s="280" t="s">
        <v>31</v>
      </c>
      <c r="V108" s="280" t="s">
        <v>522</v>
      </c>
      <c r="W108" s="280" t="s">
        <v>547</v>
      </c>
      <c r="X108" s="280" t="n">
        <f aca="false">IF($W108="Critical Importance",20,IF($W108="Minor Importance",5,10))</f>
        <v>5</v>
      </c>
    </row>
    <row r="109" customFormat="false" ht="174" hidden="false" customHeight="true" outlineLevel="0" collapsed="false">
      <c r="A109" s="282" t="s">
        <v>90</v>
      </c>
      <c r="B109" s="280" t="s">
        <v>938</v>
      </c>
      <c r="C109" s="280" t="n">
        <v>0</v>
      </c>
      <c r="D109" s="280" t="n">
        <v>1</v>
      </c>
      <c r="E109" s="280" t="n">
        <v>0</v>
      </c>
      <c r="F109" s="280" t="n">
        <v>0</v>
      </c>
      <c r="G109" s="280" t="n">
        <v>0</v>
      </c>
      <c r="H109" s="280" t="n">
        <v>0</v>
      </c>
      <c r="I109" s="280" t="n">
        <v>0</v>
      </c>
      <c r="J109" s="280" t="n">
        <v>0</v>
      </c>
      <c r="K109" s="280"/>
      <c r="L109" s="280" t="s">
        <v>587</v>
      </c>
      <c r="M109" s="280" t="s">
        <v>522</v>
      </c>
      <c r="N109" s="280"/>
      <c r="O109" s="280"/>
      <c r="P109" s="280" t="s">
        <v>939</v>
      </c>
      <c r="Q109" s="280" t="s">
        <v>940</v>
      </c>
      <c r="R109" s="280"/>
      <c r="S109" s="280" t="s">
        <v>941</v>
      </c>
      <c r="T109" s="280" t="s">
        <v>896</v>
      </c>
      <c r="U109" s="280" t="s">
        <v>31</v>
      </c>
      <c r="V109" s="280" t="s">
        <v>522</v>
      </c>
      <c r="W109" s="280" t="s">
        <v>547</v>
      </c>
      <c r="X109" s="280" t="n">
        <f aca="false">IF($W109="Critical Importance",20,IF($W109="Minor Importance",5,10))</f>
        <v>5</v>
      </c>
    </row>
    <row r="110" customFormat="false" ht="141" hidden="false" customHeight="false" outlineLevel="0" collapsed="false">
      <c r="A110" s="282" t="s">
        <v>91</v>
      </c>
      <c r="B110" s="280" t="s">
        <v>942</v>
      </c>
      <c r="C110" s="280" t="n">
        <v>0</v>
      </c>
      <c r="D110" s="280" t="n">
        <v>1</v>
      </c>
      <c r="E110" s="280" t="n">
        <v>0</v>
      </c>
      <c r="F110" s="280" t="n">
        <v>0</v>
      </c>
      <c r="G110" s="280" t="n">
        <v>0</v>
      </c>
      <c r="H110" s="280" t="n">
        <v>0</v>
      </c>
      <c r="I110" s="280" t="n">
        <v>0</v>
      </c>
      <c r="J110" s="280" t="n">
        <v>0</v>
      </c>
      <c r="K110" s="280"/>
      <c r="L110" s="280" t="s">
        <v>587</v>
      </c>
      <c r="M110" s="280" t="s">
        <v>522</v>
      </c>
      <c r="N110" s="280"/>
      <c r="O110" s="280"/>
      <c r="P110" s="280" t="s">
        <v>943</v>
      </c>
      <c r="Q110" s="280" t="s">
        <v>944</v>
      </c>
      <c r="R110" s="280"/>
      <c r="S110" s="280" t="s">
        <v>945</v>
      </c>
      <c r="T110" s="280" t="s">
        <v>946</v>
      </c>
      <c r="U110" s="280" t="s">
        <v>31</v>
      </c>
      <c r="V110" s="280" t="s">
        <v>522</v>
      </c>
      <c r="W110" s="280" t="s">
        <v>547</v>
      </c>
      <c r="X110" s="280" t="n">
        <f aca="false">IF($W110="Critical Importance",20,IF($W110="Minor Importance",5,10))</f>
        <v>5</v>
      </c>
    </row>
    <row r="111" customFormat="false" ht="204.45" hidden="false" customHeight="false" outlineLevel="0" collapsed="false">
      <c r="A111" s="282" t="s">
        <v>92</v>
      </c>
      <c r="B111" s="280" t="s">
        <v>947</v>
      </c>
      <c r="C111" s="280" t="n">
        <v>0</v>
      </c>
      <c r="D111" s="280" t="n">
        <v>1</v>
      </c>
      <c r="E111" s="280" t="n">
        <v>0</v>
      </c>
      <c r="F111" s="280" t="n">
        <v>0</v>
      </c>
      <c r="G111" s="280" t="n">
        <v>0</v>
      </c>
      <c r="H111" s="280" t="n">
        <v>0</v>
      </c>
      <c r="I111" s="280" t="n">
        <v>0</v>
      </c>
      <c r="J111" s="280" t="n">
        <v>0</v>
      </c>
      <c r="K111" s="280"/>
      <c r="L111" s="280" t="s">
        <v>587</v>
      </c>
      <c r="M111" s="280" t="s">
        <v>522</v>
      </c>
      <c r="N111" s="280"/>
      <c r="O111" s="280"/>
      <c r="P111" s="280" t="s">
        <v>948</v>
      </c>
      <c r="Q111" s="280" t="s">
        <v>949</v>
      </c>
      <c r="R111" s="280"/>
      <c r="S111" s="280" t="s">
        <v>685</v>
      </c>
      <c r="T111" s="280" t="s">
        <v>686</v>
      </c>
      <c r="U111" s="280" t="s">
        <v>31</v>
      </c>
      <c r="V111" s="280" t="s">
        <v>522</v>
      </c>
      <c r="W111" s="280" t="s">
        <v>547</v>
      </c>
      <c r="X111" s="280" t="n">
        <f aca="false">IF($W111="Critical Importance",20,IF($W111="Minor Importance",5,10))</f>
        <v>5</v>
      </c>
    </row>
    <row r="112" customFormat="false" ht="153.7" hidden="false" customHeight="false" outlineLevel="0" collapsed="false">
      <c r="A112" s="280" t="s">
        <v>134</v>
      </c>
      <c r="B112" s="280" t="s">
        <v>950</v>
      </c>
      <c r="C112" s="280" t="n">
        <v>0</v>
      </c>
      <c r="D112" s="280" t="n">
        <v>0</v>
      </c>
      <c r="E112" s="280" t="n">
        <v>1</v>
      </c>
      <c r="F112" s="280" t="n">
        <v>0</v>
      </c>
      <c r="G112" s="280" t="n">
        <v>0</v>
      </c>
      <c r="H112" s="280" t="n">
        <v>0</v>
      </c>
      <c r="I112" s="280" t="n">
        <v>0</v>
      </c>
      <c r="J112" s="280" t="n">
        <v>0</v>
      </c>
      <c r="K112" s="280"/>
      <c r="L112" s="280" t="s">
        <v>500</v>
      </c>
      <c r="M112" s="280" t="s">
        <v>522</v>
      </c>
      <c r="N112" s="280" t="s">
        <v>721</v>
      </c>
      <c r="O112" s="280"/>
      <c r="P112" s="280"/>
      <c r="Q112" s="280" t="s">
        <v>951</v>
      </c>
      <c r="R112" s="280"/>
      <c r="S112" s="280" t="s">
        <v>952</v>
      </c>
      <c r="T112" s="280" t="s">
        <v>953</v>
      </c>
      <c r="U112" s="280" t="s">
        <v>26</v>
      </c>
      <c r="V112" s="280" t="s">
        <v>522</v>
      </c>
      <c r="W112" s="280" t="s">
        <v>538</v>
      </c>
      <c r="X112" s="280" t="n">
        <f aca="false">IF($W112="Critical Importance",20,IF($W112="Minor Importance",5,10))</f>
        <v>20</v>
      </c>
    </row>
    <row r="113" customFormat="false" ht="115.65" hidden="false" customHeight="false" outlineLevel="0" collapsed="false">
      <c r="A113" s="280" t="s">
        <v>135</v>
      </c>
      <c r="B113" s="280" t="s">
        <v>954</v>
      </c>
      <c r="C113" s="280" t="n">
        <v>0</v>
      </c>
      <c r="D113" s="280" t="n">
        <v>0</v>
      </c>
      <c r="E113" s="280" t="n">
        <v>1</v>
      </c>
      <c r="F113" s="280" t="n">
        <v>0</v>
      </c>
      <c r="G113" s="280" t="n">
        <v>0</v>
      </c>
      <c r="H113" s="280" t="n">
        <v>0</v>
      </c>
      <c r="I113" s="280" t="n">
        <v>0</v>
      </c>
      <c r="J113" s="280" t="n">
        <v>1</v>
      </c>
      <c r="K113" s="280"/>
      <c r="L113" s="280" t="s">
        <v>500</v>
      </c>
      <c r="M113" s="280" t="s">
        <v>522</v>
      </c>
      <c r="N113" s="280" t="s">
        <v>721</v>
      </c>
      <c r="O113" s="280"/>
      <c r="P113" s="280" t="s">
        <v>955</v>
      </c>
      <c r="Q113" s="280" t="s">
        <v>956</v>
      </c>
      <c r="R113" s="280"/>
      <c r="S113" s="280" t="s">
        <v>957</v>
      </c>
      <c r="T113" s="280" t="s">
        <v>958</v>
      </c>
      <c r="U113" s="280" t="s">
        <v>31</v>
      </c>
      <c r="V113" s="280" t="s">
        <v>522</v>
      </c>
      <c r="W113" s="280" t="s">
        <v>538</v>
      </c>
      <c r="X113" s="280" t="n">
        <f aca="false">IF($W113="Critical Importance",20,IF($W113="Minor Importance",5,10))</f>
        <v>20</v>
      </c>
    </row>
    <row r="114" customFormat="false" ht="128.25" hidden="false" customHeight="false" outlineLevel="0" collapsed="false">
      <c r="A114" s="280" t="s">
        <v>136</v>
      </c>
      <c r="B114" s="280" t="s">
        <v>959</v>
      </c>
      <c r="C114" s="280" t="n">
        <v>0</v>
      </c>
      <c r="D114" s="280" t="n">
        <v>0</v>
      </c>
      <c r="E114" s="280" t="n">
        <v>1</v>
      </c>
      <c r="F114" s="280" t="n">
        <v>0</v>
      </c>
      <c r="G114" s="280" t="n">
        <v>0</v>
      </c>
      <c r="H114" s="280" t="n">
        <v>0</v>
      </c>
      <c r="I114" s="280" t="n">
        <v>0</v>
      </c>
      <c r="J114" s="280" t="n">
        <v>1</v>
      </c>
      <c r="K114" s="280"/>
      <c r="L114" s="280" t="s">
        <v>500</v>
      </c>
      <c r="M114" s="280" t="s">
        <v>522</v>
      </c>
      <c r="N114" s="280" t="s">
        <v>721</v>
      </c>
      <c r="O114" s="280"/>
      <c r="P114" s="280" t="s">
        <v>960</v>
      </c>
      <c r="Q114" s="280" t="s">
        <v>961</v>
      </c>
      <c r="R114" s="280"/>
      <c r="S114" s="280" t="s">
        <v>962</v>
      </c>
      <c r="T114" s="280" t="s">
        <v>963</v>
      </c>
      <c r="U114" s="280" t="s">
        <v>31</v>
      </c>
      <c r="V114" s="280" t="s">
        <v>522</v>
      </c>
      <c r="W114" s="280" t="s">
        <v>538</v>
      </c>
      <c r="X114" s="280" t="n">
        <f aca="false">IF($W114="Critical Importance",20,IF($W114="Minor Importance",5,10))</f>
        <v>20</v>
      </c>
    </row>
    <row r="115" customFormat="false" ht="179.1" hidden="false" customHeight="false" outlineLevel="0" collapsed="false">
      <c r="A115" s="280" t="s">
        <v>137</v>
      </c>
      <c r="B115" s="280" t="s">
        <v>964</v>
      </c>
      <c r="C115" s="280" t="n">
        <v>0</v>
      </c>
      <c r="D115" s="280" t="n">
        <v>0</v>
      </c>
      <c r="E115" s="280" t="n">
        <v>1</v>
      </c>
      <c r="F115" s="280" t="n">
        <v>0</v>
      </c>
      <c r="G115" s="280" t="n">
        <v>0</v>
      </c>
      <c r="H115" s="280" t="n">
        <v>0</v>
      </c>
      <c r="I115" s="280" t="n">
        <v>0</v>
      </c>
      <c r="J115" s="280" t="n">
        <v>0</v>
      </c>
      <c r="K115" s="280"/>
      <c r="L115" s="280" t="s">
        <v>500</v>
      </c>
      <c r="M115" s="280" t="s">
        <v>522</v>
      </c>
      <c r="N115" s="280" t="s">
        <v>721</v>
      </c>
      <c r="O115" s="280"/>
      <c r="P115" s="280" t="s">
        <v>965</v>
      </c>
      <c r="Q115" s="280" t="s">
        <v>966</v>
      </c>
      <c r="R115" s="280"/>
      <c r="S115" s="280" t="s">
        <v>967</v>
      </c>
      <c r="T115" s="280" t="s">
        <v>968</v>
      </c>
      <c r="U115" s="280" t="s">
        <v>31</v>
      </c>
      <c r="V115" s="280" t="s">
        <v>522</v>
      </c>
      <c r="W115" s="280" t="s">
        <v>538</v>
      </c>
      <c r="X115" s="280" t="n">
        <f aca="false">IF($W115="Critical Importance",20,IF($W115="Minor Importance",5,10))</f>
        <v>20</v>
      </c>
    </row>
    <row r="116" customFormat="false" ht="153.7" hidden="false" customHeight="false" outlineLevel="0" collapsed="false">
      <c r="A116" s="280" t="s">
        <v>138</v>
      </c>
      <c r="B116" s="280" t="s">
        <v>969</v>
      </c>
      <c r="C116" s="280" t="n">
        <v>0</v>
      </c>
      <c r="D116" s="280" t="n">
        <v>0</v>
      </c>
      <c r="E116" s="280" t="n">
        <v>1</v>
      </c>
      <c r="F116" s="280" t="n">
        <v>0</v>
      </c>
      <c r="G116" s="280" t="n">
        <v>0</v>
      </c>
      <c r="H116" s="280" t="n">
        <v>0</v>
      </c>
      <c r="I116" s="280" t="n">
        <v>0</v>
      </c>
      <c r="J116" s="280" t="n">
        <v>1</v>
      </c>
      <c r="K116" s="280"/>
      <c r="L116" s="280" t="s">
        <v>500</v>
      </c>
      <c r="M116" s="280" t="s">
        <v>522</v>
      </c>
      <c r="N116" s="280" t="s">
        <v>721</v>
      </c>
      <c r="O116" s="280"/>
      <c r="P116" s="280" t="s">
        <v>970</v>
      </c>
      <c r="Q116" s="280" t="s">
        <v>971</v>
      </c>
      <c r="R116" s="280"/>
      <c r="S116" s="280" t="s">
        <v>972</v>
      </c>
      <c r="T116" s="280" t="s">
        <v>973</v>
      </c>
      <c r="U116" s="280" t="s">
        <v>31</v>
      </c>
      <c r="V116" s="280" t="s">
        <v>522</v>
      </c>
      <c r="W116" s="280" t="s">
        <v>538</v>
      </c>
      <c r="X116" s="280" t="n">
        <f aca="false">IF($W116="Critical Importance",20,IF($W116="Minor Importance",5,10))</f>
        <v>20</v>
      </c>
    </row>
    <row r="117" customFormat="false" ht="141" hidden="false" customHeight="false" outlineLevel="0" collapsed="false">
      <c r="A117" s="280" t="s">
        <v>139</v>
      </c>
      <c r="B117" s="280" t="s">
        <v>974</v>
      </c>
      <c r="C117" s="280" t="n">
        <v>0</v>
      </c>
      <c r="D117" s="280" t="n">
        <v>0</v>
      </c>
      <c r="E117" s="280" t="n">
        <v>1</v>
      </c>
      <c r="F117" s="280" t="n">
        <v>0</v>
      </c>
      <c r="G117" s="280" t="n">
        <v>0</v>
      </c>
      <c r="H117" s="280" t="n">
        <v>0</v>
      </c>
      <c r="I117" s="280" t="n">
        <v>0</v>
      </c>
      <c r="J117" s="280" t="n">
        <v>1</v>
      </c>
      <c r="K117" s="280"/>
      <c r="L117" s="280" t="s">
        <v>500</v>
      </c>
      <c r="M117" s="280" t="s">
        <v>522</v>
      </c>
      <c r="N117" s="280" t="s">
        <v>721</v>
      </c>
      <c r="O117" s="280"/>
      <c r="P117" s="280" t="s">
        <v>975</v>
      </c>
      <c r="Q117" s="280" t="s">
        <v>976</v>
      </c>
      <c r="R117" s="280"/>
      <c r="S117" s="280" t="s">
        <v>977</v>
      </c>
      <c r="T117" s="280" t="s">
        <v>978</v>
      </c>
      <c r="U117" s="280" t="s">
        <v>31</v>
      </c>
      <c r="V117" s="280" t="s">
        <v>522</v>
      </c>
      <c r="W117" s="280" t="s">
        <v>538</v>
      </c>
      <c r="X117" s="280" t="n">
        <f aca="false">IF($W117="Critical Importance",20,IF($W117="Minor Importance",5,10))</f>
        <v>20</v>
      </c>
    </row>
    <row r="118" customFormat="false" ht="166.4" hidden="false" customHeight="false" outlineLevel="0" collapsed="false">
      <c r="A118" s="280" t="s">
        <v>140</v>
      </c>
      <c r="B118" s="280" t="s">
        <v>979</v>
      </c>
      <c r="C118" s="280" t="n">
        <v>0</v>
      </c>
      <c r="D118" s="280" t="n">
        <v>0</v>
      </c>
      <c r="E118" s="280" t="n">
        <v>1</v>
      </c>
      <c r="F118" s="280" t="n">
        <v>0</v>
      </c>
      <c r="G118" s="280" t="n">
        <v>0</v>
      </c>
      <c r="H118" s="280" t="n">
        <v>0</v>
      </c>
      <c r="I118" s="280" t="n">
        <v>0</v>
      </c>
      <c r="J118" s="280" t="n">
        <v>0</v>
      </c>
      <c r="K118" s="280"/>
      <c r="L118" s="280" t="s">
        <v>500</v>
      </c>
      <c r="M118" s="280" t="s">
        <v>522</v>
      </c>
      <c r="N118" s="280" t="s">
        <v>721</v>
      </c>
      <c r="O118" s="280"/>
      <c r="P118" s="280"/>
      <c r="Q118" s="280" t="s">
        <v>980</v>
      </c>
      <c r="R118" s="280"/>
      <c r="S118" s="280" t="s">
        <v>981</v>
      </c>
      <c r="T118" s="280" t="s">
        <v>982</v>
      </c>
      <c r="U118" s="280" t="s">
        <v>26</v>
      </c>
      <c r="V118" s="280" t="s">
        <v>522</v>
      </c>
      <c r="W118" s="280" t="s">
        <v>538</v>
      </c>
      <c r="X118" s="280" t="n">
        <f aca="false">IF($W118="Critical Importance",20,IF($W118="Minor Importance",5,10))</f>
        <v>20</v>
      </c>
    </row>
    <row r="119" customFormat="false" ht="166.4" hidden="false" customHeight="false" outlineLevel="0" collapsed="false">
      <c r="A119" s="280" t="s">
        <v>141</v>
      </c>
      <c r="B119" s="280" t="s">
        <v>983</v>
      </c>
      <c r="C119" s="280" t="n">
        <v>0</v>
      </c>
      <c r="D119" s="280" t="n">
        <v>0</v>
      </c>
      <c r="E119" s="280" t="n">
        <v>1</v>
      </c>
      <c r="F119" s="280" t="n">
        <v>0</v>
      </c>
      <c r="G119" s="280" t="n">
        <v>0</v>
      </c>
      <c r="H119" s="280" t="n">
        <v>0</v>
      </c>
      <c r="I119" s="280" t="n">
        <v>0</v>
      </c>
      <c r="J119" s="280" t="n">
        <v>0</v>
      </c>
      <c r="K119" s="280"/>
      <c r="L119" s="280" t="s">
        <v>500</v>
      </c>
      <c r="M119" s="280" t="s">
        <v>522</v>
      </c>
      <c r="N119" s="280" t="s">
        <v>721</v>
      </c>
      <c r="O119" s="280"/>
      <c r="P119" s="280" t="s">
        <v>984</v>
      </c>
      <c r="Q119" s="280" t="s">
        <v>985</v>
      </c>
      <c r="R119" s="280"/>
      <c r="S119" s="280" t="s">
        <v>986</v>
      </c>
      <c r="T119" s="280" t="s">
        <v>987</v>
      </c>
      <c r="U119" s="280" t="s">
        <v>31</v>
      </c>
      <c r="V119" s="280" t="s">
        <v>522</v>
      </c>
      <c r="W119" s="280" t="s">
        <v>538</v>
      </c>
      <c r="X119" s="280" t="n">
        <f aca="false">IF($W119="Critical Importance",20,IF($W119="Minor Importance",5,10))</f>
        <v>20</v>
      </c>
    </row>
    <row r="120" customFormat="false" ht="153.7" hidden="false" customHeight="false" outlineLevel="0" collapsed="false">
      <c r="A120" s="280" t="s">
        <v>142</v>
      </c>
      <c r="B120" s="280" t="s">
        <v>988</v>
      </c>
      <c r="C120" s="280" t="n">
        <v>0</v>
      </c>
      <c r="D120" s="280" t="n">
        <v>0</v>
      </c>
      <c r="E120" s="280" t="n">
        <v>1</v>
      </c>
      <c r="F120" s="280" t="n">
        <v>0</v>
      </c>
      <c r="G120" s="280" t="n">
        <v>0</v>
      </c>
      <c r="H120" s="280" t="n">
        <v>0</v>
      </c>
      <c r="I120" s="280" t="n">
        <v>0</v>
      </c>
      <c r="J120" s="280" t="n">
        <v>1</v>
      </c>
      <c r="K120" s="280"/>
      <c r="L120" s="280" t="s">
        <v>500</v>
      </c>
      <c r="M120" s="280" t="s">
        <v>522</v>
      </c>
      <c r="N120" s="280" t="s">
        <v>721</v>
      </c>
      <c r="O120" s="280" t="s">
        <v>989</v>
      </c>
      <c r="P120" s="280" t="s">
        <v>990</v>
      </c>
      <c r="Q120" s="280" t="s">
        <v>971</v>
      </c>
      <c r="R120" s="280"/>
      <c r="S120" s="280" t="s">
        <v>991</v>
      </c>
      <c r="T120" s="280" t="s">
        <v>973</v>
      </c>
      <c r="U120" s="280" t="s">
        <v>31</v>
      </c>
      <c r="V120" s="280" t="s">
        <v>522</v>
      </c>
      <c r="W120" s="280" t="s">
        <v>594</v>
      </c>
      <c r="X120" s="280" t="n">
        <f aca="false">IF($W120="Critical Importance",20,IF($W120="Minor Importance",5,10))</f>
        <v>10</v>
      </c>
    </row>
    <row r="121" customFormat="false" ht="153.7" hidden="false" customHeight="false" outlineLevel="0" collapsed="false">
      <c r="A121" s="280" t="s">
        <v>143</v>
      </c>
      <c r="B121" s="280" t="s">
        <v>992</v>
      </c>
      <c r="C121" s="280" t="n">
        <v>0</v>
      </c>
      <c r="D121" s="280" t="n">
        <v>0</v>
      </c>
      <c r="E121" s="280" t="n">
        <v>1</v>
      </c>
      <c r="F121" s="280" t="n">
        <v>0</v>
      </c>
      <c r="G121" s="280" t="n">
        <v>0</v>
      </c>
      <c r="H121" s="280" t="n">
        <v>0</v>
      </c>
      <c r="I121" s="280" t="n">
        <v>0</v>
      </c>
      <c r="J121" s="280" t="n">
        <v>1</v>
      </c>
      <c r="K121" s="280"/>
      <c r="L121" s="280" t="s">
        <v>500</v>
      </c>
      <c r="M121" s="280" t="s">
        <v>522</v>
      </c>
      <c r="N121" s="280" t="s">
        <v>721</v>
      </c>
      <c r="O121" s="280"/>
      <c r="P121" s="280" t="s">
        <v>993</v>
      </c>
      <c r="Q121" s="280" t="s">
        <v>994</v>
      </c>
      <c r="R121" s="280"/>
      <c r="S121" s="280" t="s">
        <v>995</v>
      </c>
      <c r="T121" s="280" t="s">
        <v>973</v>
      </c>
      <c r="U121" s="280" t="s">
        <v>31</v>
      </c>
      <c r="V121" s="280" t="s">
        <v>522</v>
      </c>
      <c r="W121" s="280" t="s">
        <v>594</v>
      </c>
      <c r="X121" s="280" t="n">
        <f aca="false">IF($W121="Critical Importance",20,IF($W121="Minor Importance",5,10))</f>
        <v>10</v>
      </c>
    </row>
    <row r="122" customFormat="false" ht="115.65" hidden="false" customHeight="false" outlineLevel="0" collapsed="false">
      <c r="A122" s="280" t="s">
        <v>144</v>
      </c>
      <c r="B122" s="280" t="s">
        <v>996</v>
      </c>
      <c r="C122" s="280" t="n">
        <v>0</v>
      </c>
      <c r="D122" s="280" t="n">
        <v>0</v>
      </c>
      <c r="E122" s="280" t="n">
        <v>1</v>
      </c>
      <c r="F122" s="280" t="n">
        <v>0</v>
      </c>
      <c r="G122" s="280" t="n">
        <v>0</v>
      </c>
      <c r="H122" s="280" t="n">
        <v>0</v>
      </c>
      <c r="I122" s="280" t="n">
        <v>0</v>
      </c>
      <c r="J122" s="280" t="n">
        <v>1</v>
      </c>
      <c r="K122" s="280"/>
      <c r="L122" s="280" t="s">
        <v>500</v>
      </c>
      <c r="M122" s="280" t="s">
        <v>522</v>
      </c>
      <c r="N122" s="280" t="s">
        <v>721</v>
      </c>
      <c r="O122" s="280"/>
      <c r="P122" s="280" t="s">
        <v>997</v>
      </c>
      <c r="Q122" s="280" t="s">
        <v>998</v>
      </c>
      <c r="R122" s="280"/>
      <c r="S122" s="280" t="s">
        <v>999</v>
      </c>
      <c r="T122" s="280" t="s">
        <v>1000</v>
      </c>
      <c r="U122" s="280" t="s">
        <v>31</v>
      </c>
      <c r="V122" s="280" t="s">
        <v>522</v>
      </c>
      <c r="W122" s="280" t="s">
        <v>594</v>
      </c>
      <c r="X122" s="280" t="n">
        <f aca="false">IF($W122="Critical Importance",20,IF($W122="Minor Importance",5,10))</f>
        <v>10</v>
      </c>
    </row>
    <row r="123" customFormat="false" ht="191.75" hidden="false" customHeight="false" outlineLevel="0" collapsed="false">
      <c r="A123" s="280" t="s">
        <v>145</v>
      </c>
      <c r="B123" s="280" t="s">
        <v>1001</v>
      </c>
      <c r="C123" s="280" t="n">
        <v>0</v>
      </c>
      <c r="D123" s="280" t="n">
        <v>0</v>
      </c>
      <c r="E123" s="280" t="n">
        <v>1</v>
      </c>
      <c r="F123" s="280" t="n">
        <v>0</v>
      </c>
      <c r="G123" s="280" t="n">
        <v>0</v>
      </c>
      <c r="H123" s="280" t="n">
        <v>0</v>
      </c>
      <c r="I123" s="280" t="n">
        <v>0</v>
      </c>
      <c r="J123" s="280" t="n">
        <v>1</v>
      </c>
      <c r="K123" s="280"/>
      <c r="L123" s="280" t="s">
        <v>500</v>
      </c>
      <c r="M123" s="280" t="s">
        <v>522</v>
      </c>
      <c r="N123" s="280" t="s">
        <v>721</v>
      </c>
      <c r="O123" s="280"/>
      <c r="P123" s="280" t="s">
        <v>1002</v>
      </c>
      <c r="Q123" s="280" t="s">
        <v>1003</v>
      </c>
      <c r="R123" s="280"/>
      <c r="S123" s="280" t="s">
        <v>1004</v>
      </c>
      <c r="T123" s="280" t="s">
        <v>1005</v>
      </c>
      <c r="U123" s="280" t="s">
        <v>31</v>
      </c>
      <c r="V123" s="280" t="s">
        <v>522</v>
      </c>
      <c r="W123" s="280" t="s">
        <v>594</v>
      </c>
      <c r="X123" s="280" t="n">
        <f aca="false">IF($W123="Critical Importance",20,IF($W123="Minor Importance",5,10))</f>
        <v>10</v>
      </c>
    </row>
    <row r="124" customFormat="false" ht="148.5" hidden="false" customHeight="true" outlineLevel="0" collapsed="false">
      <c r="A124" s="280" t="s">
        <v>146</v>
      </c>
      <c r="B124" s="280" t="s">
        <v>1006</v>
      </c>
      <c r="C124" s="280" t="n">
        <v>0</v>
      </c>
      <c r="D124" s="280" t="n">
        <v>0</v>
      </c>
      <c r="E124" s="280" t="n">
        <v>1</v>
      </c>
      <c r="F124" s="280" t="n">
        <v>0</v>
      </c>
      <c r="G124" s="280" t="n">
        <v>0</v>
      </c>
      <c r="H124" s="280" t="n">
        <v>0</v>
      </c>
      <c r="I124" s="280" t="n">
        <v>0</v>
      </c>
      <c r="J124" s="280" t="n">
        <v>1</v>
      </c>
      <c r="K124" s="280"/>
      <c r="L124" s="280" t="s">
        <v>500</v>
      </c>
      <c r="M124" s="280" t="s">
        <v>522</v>
      </c>
      <c r="N124" s="280" t="s">
        <v>721</v>
      </c>
      <c r="O124" s="280"/>
      <c r="P124" s="280" t="s">
        <v>1007</v>
      </c>
      <c r="Q124" s="280" t="s">
        <v>1008</v>
      </c>
      <c r="R124" s="280"/>
      <c r="S124" s="280" t="s">
        <v>1009</v>
      </c>
      <c r="T124" s="280" t="s">
        <v>1010</v>
      </c>
      <c r="U124" s="280" t="s">
        <v>31</v>
      </c>
      <c r="V124" s="280" t="s">
        <v>522</v>
      </c>
      <c r="W124" s="280" t="s">
        <v>594</v>
      </c>
      <c r="X124" s="280" t="n">
        <f aca="false">IF($W124="Critical Importance",20,IF($W124="Minor Importance",5,10))</f>
        <v>10</v>
      </c>
    </row>
    <row r="125" customFormat="false" ht="147" hidden="false" customHeight="true" outlineLevel="0" collapsed="false">
      <c r="A125" s="280" t="s">
        <v>147</v>
      </c>
      <c r="B125" s="280" t="s">
        <v>1011</v>
      </c>
      <c r="C125" s="280" t="n">
        <v>0</v>
      </c>
      <c r="D125" s="280" t="n">
        <v>0</v>
      </c>
      <c r="E125" s="280" t="n">
        <v>1</v>
      </c>
      <c r="F125" s="280" t="n">
        <v>0</v>
      </c>
      <c r="G125" s="280" t="n">
        <v>0</v>
      </c>
      <c r="H125" s="280" t="n">
        <v>0</v>
      </c>
      <c r="I125" s="280" t="n">
        <v>0</v>
      </c>
      <c r="J125" s="280" t="n">
        <v>1</v>
      </c>
      <c r="K125" s="280"/>
      <c r="L125" s="280" t="s">
        <v>500</v>
      </c>
      <c r="M125" s="280" t="s">
        <v>522</v>
      </c>
      <c r="N125" s="280" t="s">
        <v>721</v>
      </c>
      <c r="O125" s="280"/>
      <c r="P125" s="280" t="s">
        <v>1012</v>
      </c>
      <c r="Q125" s="280" t="s">
        <v>1013</v>
      </c>
      <c r="R125" s="280"/>
      <c r="S125" s="280" t="s">
        <v>1014</v>
      </c>
      <c r="T125" s="280" t="s">
        <v>1015</v>
      </c>
      <c r="U125" s="280" t="s">
        <v>31</v>
      </c>
      <c r="V125" s="280" t="s">
        <v>522</v>
      </c>
      <c r="W125" s="280" t="s">
        <v>547</v>
      </c>
      <c r="X125" s="280" t="n">
        <f aca="false">IF($W125="Critical Importance",20,IF($W125="Minor Importance",5,10))</f>
        <v>5</v>
      </c>
    </row>
    <row r="126" customFormat="false" ht="166.4" hidden="false" customHeight="false" outlineLevel="0" collapsed="false">
      <c r="A126" s="280" t="s">
        <v>148</v>
      </c>
      <c r="B126" s="280" t="s">
        <v>1016</v>
      </c>
      <c r="C126" s="280" t="n">
        <v>0</v>
      </c>
      <c r="D126" s="280" t="n">
        <v>0</v>
      </c>
      <c r="E126" s="280" t="n">
        <v>1</v>
      </c>
      <c r="F126" s="280" t="n">
        <v>0</v>
      </c>
      <c r="G126" s="280" t="n">
        <v>0</v>
      </c>
      <c r="H126" s="280" t="n">
        <v>0</v>
      </c>
      <c r="I126" s="280" t="n">
        <v>0</v>
      </c>
      <c r="J126" s="280" t="n">
        <v>0</v>
      </c>
      <c r="K126" s="280"/>
      <c r="L126" s="280" t="s">
        <v>500</v>
      </c>
      <c r="M126" s="280" t="s">
        <v>522</v>
      </c>
      <c r="N126" s="280" t="s">
        <v>721</v>
      </c>
      <c r="O126" s="280"/>
      <c r="P126" s="280" t="s">
        <v>1017</v>
      </c>
      <c r="Q126" s="280" t="s">
        <v>1018</v>
      </c>
      <c r="R126" s="280"/>
      <c r="S126" s="280" t="s">
        <v>986</v>
      </c>
      <c r="T126" s="280" t="s">
        <v>987</v>
      </c>
      <c r="U126" s="280" t="s">
        <v>31</v>
      </c>
      <c r="V126" s="280" t="s">
        <v>522</v>
      </c>
      <c r="W126" s="280" t="s">
        <v>594</v>
      </c>
      <c r="X126" s="280" t="n">
        <f aca="false">IF($W126="Critical Importance",20,IF($W126="Minor Importance",5,10))</f>
        <v>10</v>
      </c>
    </row>
    <row r="127" customFormat="false" ht="166.4" hidden="false" customHeight="false" outlineLevel="0" collapsed="false">
      <c r="A127" s="280" t="s">
        <v>149</v>
      </c>
      <c r="B127" s="280" t="s">
        <v>1019</v>
      </c>
      <c r="C127" s="280" t="n">
        <v>0</v>
      </c>
      <c r="D127" s="280" t="n">
        <v>0</v>
      </c>
      <c r="E127" s="280" t="n">
        <v>1</v>
      </c>
      <c r="F127" s="280" t="n">
        <v>0</v>
      </c>
      <c r="G127" s="280" t="n">
        <v>0</v>
      </c>
      <c r="H127" s="280" t="n">
        <v>0</v>
      </c>
      <c r="I127" s="280" t="n">
        <v>0</v>
      </c>
      <c r="J127" s="280" t="n">
        <v>0</v>
      </c>
      <c r="K127" s="280"/>
      <c r="L127" s="280" t="s">
        <v>500</v>
      </c>
      <c r="M127" s="280" t="s">
        <v>522</v>
      </c>
      <c r="N127" s="280" t="s">
        <v>721</v>
      </c>
      <c r="O127" s="280"/>
      <c r="P127" s="280" t="s">
        <v>1020</v>
      </c>
      <c r="Q127" s="280"/>
      <c r="R127" s="280"/>
      <c r="S127" s="280" t="s">
        <v>986</v>
      </c>
      <c r="T127" s="280" t="s">
        <v>1021</v>
      </c>
      <c r="U127" s="280" t="s">
        <v>31</v>
      </c>
      <c r="V127" s="280" t="s">
        <v>522</v>
      </c>
      <c r="W127" s="280" t="s">
        <v>594</v>
      </c>
      <c r="X127" s="280" t="n">
        <f aca="false">IF($W127="Critical Importance",20,IF($W127="Minor Importance",5,10))</f>
        <v>10</v>
      </c>
    </row>
    <row r="128" customFormat="false" ht="179.1" hidden="false" customHeight="false" outlineLevel="0" collapsed="false">
      <c r="A128" s="280" t="s">
        <v>150</v>
      </c>
      <c r="B128" s="280" t="s">
        <v>1022</v>
      </c>
      <c r="C128" s="280" t="n">
        <v>0</v>
      </c>
      <c r="D128" s="280" t="n">
        <v>0</v>
      </c>
      <c r="E128" s="280" t="n">
        <v>1</v>
      </c>
      <c r="F128" s="280" t="n">
        <v>0</v>
      </c>
      <c r="G128" s="280" t="n">
        <v>0</v>
      </c>
      <c r="H128" s="280" t="n">
        <v>0</v>
      </c>
      <c r="I128" s="280" t="n">
        <v>0</v>
      </c>
      <c r="J128" s="280" t="n">
        <v>1</v>
      </c>
      <c r="K128" s="280"/>
      <c r="L128" s="280" t="s">
        <v>500</v>
      </c>
      <c r="M128" s="280" t="s">
        <v>522</v>
      </c>
      <c r="N128" s="280" t="s">
        <v>721</v>
      </c>
      <c r="O128" s="280"/>
      <c r="P128" s="280"/>
      <c r="Q128" s="280" t="s">
        <v>1023</v>
      </c>
      <c r="R128" s="280"/>
      <c r="S128" s="280" t="s">
        <v>1024</v>
      </c>
      <c r="T128" s="280" t="s">
        <v>1025</v>
      </c>
      <c r="U128" s="280" t="s">
        <v>26</v>
      </c>
      <c r="V128" s="280" t="s">
        <v>522</v>
      </c>
      <c r="W128" s="280" t="s">
        <v>594</v>
      </c>
      <c r="X128" s="280" t="n">
        <f aca="false">IF($W128="Critical Importance",20,IF($W128="Minor Importance",5,10))</f>
        <v>10</v>
      </c>
    </row>
    <row r="129" customFormat="false" ht="408.75" hidden="false" customHeight="true" outlineLevel="0" collapsed="false">
      <c r="A129" s="280" t="s">
        <v>151</v>
      </c>
      <c r="B129" s="280" t="s">
        <v>1026</v>
      </c>
      <c r="C129" s="280" t="n">
        <v>0</v>
      </c>
      <c r="D129" s="280" t="n">
        <v>0</v>
      </c>
      <c r="E129" s="280" t="n">
        <v>1</v>
      </c>
      <c r="F129" s="280" t="n">
        <v>0</v>
      </c>
      <c r="G129" s="280" t="n">
        <v>0</v>
      </c>
      <c r="H129" s="280" t="n">
        <v>0</v>
      </c>
      <c r="I129" s="280" t="n">
        <v>0</v>
      </c>
      <c r="J129" s="280" t="n">
        <v>0</v>
      </c>
      <c r="K129" s="280"/>
      <c r="L129" s="280" t="s">
        <v>500</v>
      </c>
      <c r="M129" s="280" t="s">
        <v>522</v>
      </c>
      <c r="N129" s="280" t="s">
        <v>721</v>
      </c>
      <c r="O129" s="280"/>
      <c r="P129" s="280"/>
      <c r="Q129" s="280" t="s">
        <v>1027</v>
      </c>
      <c r="R129" s="280"/>
      <c r="S129" s="280" t="s">
        <v>1028</v>
      </c>
      <c r="T129" s="280" t="s">
        <v>1029</v>
      </c>
      <c r="U129" s="280" t="s">
        <v>31</v>
      </c>
      <c r="V129" s="280" t="s">
        <v>522</v>
      </c>
      <c r="W129" s="280" t="s">
        <v>594</v>
      </c>
      <c r="X129" s="280" t="n">
        <f aca="false">IF($W129="Critical Importance",20,IF($W129="Minor Importance",5,10))</f>
        <v>10</v>
      </c>
    </row>
    <row r="130" customFormat="false" ht="294" hidden="false" customHeight="true" outlineLevel="0" collapsed="false">
      <c r="A130" s="280" t="s">
        <v>152</v>
      </c>
      <c r="B130" s="280" t="s">
        <v>1030</v>
      </c>
      <c r="C130" s="280" t="n">
        <v>0</v>
      </c>
      <c r="D130" s="280" t="n">
        <v>0</v>
      </c>
      <c r="E130" s="280" t="n">
        <v>1</v>
      </c>
      <c r="F130" s="280" t="n">
        <v>0</v>
      </c>
      <c r="G130" s="280" t="n">
        <v>0</v>
      </c>
      <c r="H130" s="280" t="n">
        <v>0</v>
      </c>
      <c r="I130" s="280" t="n">
        <v>0</v>
      </c>
      <c r="J130" s="280" t="n">
        <v>0</v>
      </c>
      <c r="K130" s="280"/>
      <c r="L130" s="280" t="s">
        <v>500</v>
      </c>
      <c r="M130" s="280" t="s">
        <v>522</v>
      </c>
      <c r="N130" s="280" t="s">
        <v>721</v>
      </c>
      <c r="O130" s="280"/>
      <c r="P130" s="280" t="s">
        <v>1031</v>
      </c>
      <c r="Q130" s="280" t="s">
        <v>1032</v>
      </c>
      <c r="R130" s="280"/>
      <c r="S130" s="280" t="s">
        <v>1033</v>
      </c>
      <c r="T130" s="280" t="s">
        <v>1034</v>
      </c>
      <c r="U130" s="280" t="s">
        <v>31</v>
      </c>
      <c r="V130" s="280" t="s">
        <v>522</v>
      </c>
      <c r="W130" s="280" t="s">
        <v>547</v>
      </c>
      <c r="X130" s="280" t="n">
        <f aca="false">IF($W130="Critical Importance",20,IF($W130="Minor Importance",5,10))</f>
        <v>5</v>
      </c>
    </row>
    <row r="131" customFormat="false" ht="220.5" hidden="false" customHeight="true" outlineLevel="0" collapsed="false">
      <c r="A131" s="280" t="s">
        <v>153</v>
      </c>
      <c r="B131" s="280" t="s">
        <v>1035</v>
      </c>
      <c r="C131" s="280" t="n">
        <v>0</v>
      </c>
      <c r="D131" s="280" t="n">
        <v>0</v>
      </c>
      <c r="E131" s="280" t="n">
        <v>1</v>
      </c>
      <c r="F131" s="280" t="n">
        <v>0</v>
      </c>
      <c r="G131" s="280" t="n">
        <v>0</v>
      </c>
      <c r="H131" s="280" t="n">
        <v>0</v>
      </c>
      <c r="I131" s="280" t="n">
        <v>0</v>
      </c>
      <c r="J131" s="280" t="n">
        <v>1</v>
      </c>
      <c r="K131" s="280"/>
      <c r="L131" s="280" t="s">
        <v>500</v>
      </c>
      <c r="M131" s="280" t="s">
        <v>522</v>
      </c>
      <c r="N131" s="280" t="s">
        <v>721</v>
      </c>
      <c r="O131" s="280"/>
      <c r="P131" s="280" t="s">
        <v>1036</v>
      </c>
      <c r="Q131" s="280" t="s">
        <v>1037</v>
      </c>
      <c r="R131" s="280"/>
      <c r="S131" s="280" t="s">
        <v>1038</v>
      </c>
      <c r="T131" s="280" t="s">
        <v>978</v>
      </c>
      <c r="U131" s="280" t="s">
        <v>31</v>
      </c>
      <c r="V131" s="280" t="s">
        <v>522</v>
      </c>
      <c r="W131" s="280" t="s">
        <v>547</v>
      </c>
      <c r="X131" s="280" t="n">
        <f aca="false">IF($W131="Critical Importance",20,IF($W131="Minor Importance",5,10))</f>
        <v>5</v>
      </c>
    </row>
    <row r="132" customFormat="false" ht="141" hidden="false" customHeight="false" outlineLevel="0" collapsed="false">
      <c r="A132" s="280" t="s">
        <v>154</v>
      </c>
      <c r="B132" s="280" t="s">
        <v>1039</v>
      </c>
      <c r="C132" s="280" t="n">
        <v>0</v>
      </c>
      <c r="D132" s="280" t="n">
        <v>0</v>
      </c>
      <c r="E132" s="280" t="n">
        <v>1</v>
      </c>
      <c r="F132" s="280" t="n">
        <v>0</v>
      </c>
      <c r="G132" s="280" t="n">
        <v>0</v>
      </c>
      <c r="H132" s="280" t="n">
        <v>0</v>
      </c>
      <c r="I132" s="280" t="n">
        <v>0</v>
      </c>
      <c r="J132" s="280" t="n">
        <v>1</v>
      </c>
      <c r="K132" s="280"/>
      <c r="L132" s="280" t="s">
        <v>500</v>
      </c>
      <c r="M132" s="280" t="s">
        <v>522</v>
      </c>
      <c r="N132" s="280" t="s">
        <v>721</v>
      </c>
      <c r="O132" s="280"/>
      <c r="P132" s="280" t="s">
        <v>1040</v>
      </c>
      <c r="Q132" s="280" t="s">
        <v>1041</v>
      </c>
      <c r="R132" s="280"/>
      <c r="S132" s="280" t="s">
        <v>977</v>
      </c>
      <c r="T132" s="280" t="s">
        <v>978</v>
      </c>
      <c r="U132" s="280" t="s">
        <v>31</v>
      </c>
      <c r="V132" s="280" t="s">
        <v>522</v>
      </c>
      <c r="W132" s="280" t="s">
        <v>547</v>
      </c>
      <c r="X132" s="280" t="n">
        <f aca="false">IF($W132="Critical Importance",20,IF($W132="Minor Importance",5,10))</f>
        <v>5</v>
      </c>
    </row>
    <row r="133" customFormat="false" ht="191.75" hidden="false" customHeight="false" outlineLevel="0" collapsed="false">
      <c r="A133" s="280" t="s">
        <v>155</v>
      </c>
      <c r="B133" s="280" t="s">
        <v>1042</v>
      </c>
      <c r="C133" s="280" t="n">
        <v>0</v>
      </c>
      <c r="D133" s="280" t="n">
        <v>0</v>
      </c>
      <c r="E133" s="280" t="n">
        <v>1</v>
      </c>
      <c r="F133" s="280" t="n">
        <v>0</v>
      </c>
      <c r="G133" s="280" t="n">
        <v>0</v>
      </c>
      <c r="H133" s="280" t="n">
        <v>0</v>
      </c>
      <c r="I133" s="280" t="n">
        <v>0</v>
      </c>
      <c r="J133" s="280" t="n">
        <v>1</v>
      </c>
      <c r="K133" s="280"/>
      <c r="L133" s="280" t="s">
        <v>500</v>
      </c>
      <c r="M133" s="280" t="s">
        <v>522</v>
      </c>
      <c r="N133" s="280" t="s">
        <v>721</v>
      </c>
      <c r="O133" s="280" t="s">
        <v>1043</v>
      </c>
      <c r="P133" s="280" t="s">
        <v>1044</v>
      </c>
      <c r="Q133" s="280" t="s">
        <v>1045</v>
      </c>
      <c r="R133" s="280"/>
      <c r="S133" s="280" t="s">
        <v>1046</v>
      </c>
      <c r="T133" s="280" t="s">
        <v>1047</v>
      </c>
      <c r="U133" s="280" t="s">
        <v>31</v>
      </c>
      <c r="V133" s="280" t="s">
        <v>522</v>
      </c>
      <c r="W133" s="280" t="s">
        <v>547</v>
      </c>
      <c r="X133" s="280" t="n">
        <f aca="false">IF($W133="Critical Importance",20,IF($W133="Minor Importance",5,10))</f>
        <v>5</v>
      </c>
    </row>
    <row r="134" customFormat="false" ht="267.9" hidden="false" customHeight="false" outlineLevel="0" collapsed="false">
      <c r="A134" s="280" t="s">
        <v>156</v>
      </c>
      <c r="B134" s="280" t="s">
        <v>1048</v>
      </c>
      <c r="C134" s="280" t="n">
        <v>0</v>
      </c>
      <c r="D134" s="280" t="n">
        <v>0</v>
      </c>
      <c r="E134" s="280" t="n">
        <v>1</v>
      </c>
      <c r="F134" s="280" t="n">
        <v>0</v>
      </c>
      <c r="G134" s="280" t="n">
        <v>0</v>
      </c>
      <c r="H134" s="280" t="n">
        <v>0</v>
      </c>
      <c r="I134" s="280" t="n">
        <v>0</v>
      </c>
      <c r="J134" s="280" t="n">
        <v>0</v>
      </c>
      <c r="K134" s="280"/>
      <c r="L134" s="280" t="s">
        <v>500</v>
      </c>
      <c r="M134" s="280" t="s">
        <v>522</v>
      </c>
      <c r="N134" s="280" t="s">
        <v>721</v>
      </c>
      <c r="O134" s="280" t="s">
        <v>1049</v>
      </c>
      <c r="P134" s="280" t="s">
        <v>1049</v>
      </c>
      <c r="Q134" s="280" t="s">
        <v>1049</v>
      </c>
      <c r="R134" s="280"/>
      <c r="S134" s="280" t="s">
        <v>1050</v>
      </c>
      <c r="T134" s="280" t="s">
        <v>1051</v>
      </c>
      <c r="U134" s="280" t="s">
        <v>31</v>
      </c>
      <c r="V134" s="280" t="s">
        <v>522</v>
      </c>
      <c r="W134" s="280" t="s">
        <v>547</v>
      </c>
      <c r="X134" s="280" t="n">
        <f aca="false">IF($W134="Critical Importance",20,IF($W134="Minor Importance",5,10))</f>
        <v>5</v>
      </c>
    </row>
    <row r="135" customFormat="false" ht="267.9" hidden="false" customHeight="false" outlineLevel="0" collapsed="false">
      <c r="A135" s="282" t="s">
        <v>172</v>
      </c>
      <c r="B135" s="280" t="s">
        <v>1052</v>
      </c>
      <c r="C135" s="280" t="n">
        <v>0</v>
      </c>
      <c r="D135" s="280" t="n">
        <v>0</v>
      </c>
      <c r="E135" s="280" t="n">
        <v>0</v>
      </c>
      <c r="F135" s="280" t="n">
        <v>1</v>
      </c>
      <c r="G135" s="280" t="n">
        <v>0</v>
      </c>
      <c r="H135" s="280" t="n">
        <v>0</v>
      </c>
      <c r="I135" s="280" t="n">
        <v>0</v>
      </c>
      <c r="J135" s="280" t="n">
        <v>1</v>
      </c>
      <c r="K135" s="280"/>
      <c r="L135" s="280" t="s">
        <v>520</v>
      </c>
      <c r="M135" s="280" t="s">
        <v>522</v>
      </c>
      <c r="N135" s="280" t="s">
        <v>1053</v>
      </c>
      <c r="O135" s="280" t="s">
        <v>1054</v>
      </c>
      <c r="P135" s="280" t="s">
        <v>1054</v>
      </c>
      <c r="Q135" s="280" t="s">
        <v>1054</v>
      </c>
      <c r="R135" s="280"/>
      <c r="S135" s="280" t="s">
        <v>1055</v>
      </c>
      <c r="T135" s="280" t="s">
        <v>1056</v>
      </c>
      <c r="U135" s="280" t="s">
        <v>520</v>
      </c>
      <c r="V135" s="280" t="s">
        <v>522</v>
      </c>
      <c r="W135" s="280"/>
      <c r="X135" s="280"/>
    </row>
    <row r="136" customFormat="false" ht="394.75" hidden="false" customHeight="false" outlineLevel="0" collapsed="false">
      <c r="A136" s="280" t="s">
        <v>173</v>
      </c>
      <c r="B136" s="280" t="s">
        <v>1057</v>
      </c>
      <c r="C136" s="280" t="n">
        <v>0</v>
      </c>
      <c r="D136" s="280" t="n">
        <v>0</v>
      </c>
      <c r="E136" s="280" t="n">
        <v>0</v>
      </c>
      <c r="F136" s="280" t="n">
        <v>1</v>
      </c>
      <c r="G136" s="280" t="n">
        <v>0</v>
      </c>
      <c r="H136" s="280" t="n">
        <v>0</v>
      </c>
      <c r="I136" s="280" t="n">
        <v>0</v>
      </c>
      <c r="J136" s="280" t="n">
        <v>0</v>
      </c>
      <c r="K136" s="280"/>
      <c r="L136" s="280" t="s">
        <v>720</v>
      </c>
      <c r="M136" s="280" t="s">
        <v>522</v>
      </c>
      <c r="N136" s="280"/>
      <c r="O136" s="280"/>
      <c r="P136" s="280"/>
      <c r="Q136" s="280" t="s">
        <v>1058</v>
      </c>
      <c r="R136" s="280"/>
      <c r="S136" s="280" t="s">
        <v>1059</v>
      </c>
      <c r="T136" s="280" t="s">
        <v>1060</v>
      </c>
      <c r="U136" s="280" t="s">
        <v>31</v>
      </c>
      <c r="V136" s="280" t="s">
        <v>522</v>
      </c>
      <c r="W136" s="280" t="s">
        <v>594</v>
      </c>
      <c r="X136" s="280" t="n">
        <f aca="false">IF($W136="Critical Importance",20,IF($W136="Minor Importance",5,10))</f>
        <v>10</v>
      </c>
    </row>
    <row r="137" customFormat="false" ht="339.75" hidden="false" customHeight="true" outlineLevel="0" collapsed="false">
      <c r="A137" s="282" t="s">
        <v>174</v>
      </c>
      <c r="B137" s="280" t="s">
        <v>1061</v>
      </c>
      <c r="C137" s="280" t="n">
        <v>0</v>
      </c>
      <c r="D137" s="280" t="n">
        <v>0</v>
      </c>
      <c r="E137" s="280" t="n">
        <v>0</v>
      </c>
      <c r="F137" s="280" t="n">
        <v>1</v>
      </c>
      <c r="G137" s="280" t="n">
        <v>0</v>
      </c>
      <c r="H137" s="280" t="n">
        <v>0</v>
      </c>
      <c r="I137" s="280" t="n">
        <v>0</v>
      </c>
      <c r="J137" s="280" t="n">
        <v>1</v>
      </c>
      <c r="K137" s="280"/>
      <c r="L137" s="280" t="s">
        <v>720</v>
      </c>
      <c r="M137" s="280" t="s">
        <v>522</v>
      </c>
      <c r="N137" s="280"/>
      <c r="O137" s="280" t="s">
        <v>1062</v>
      </c>
      <c r="P137" s="280" t="s">
        <v>1063</v>
      </c>
      <c r="Q137" s="280" t="s">
        <v>1062</v>
      </c>
      <c r="R137" s="280"/>
      <c r="S137" s="280" t="s">
        <v>1064</v>
      </c>
      <c r="T137" s="280" t="s">
        <v>1065</v>
      </c>
      <c r="U137" s="280" t="s">
        <v>31</v>
      </c>
      <c r="V137" s="280" t="s">
        <v>522</v>
      </c>
      <c r="W137" s="280" t="s">
        <v>594</v>
      </c>
      <c r="X137" s="280" t="n">
        <f aca="false">IF($W137="Critical Importance",20,IF($W137="Minor Importance",5,10))</f>
        <v>10</v>
      </c>
    </row>
    <row r="138" customFormat="false" ht="186" hidden="false" customHeight="true" outlineLevel="0" collapsed="false">
      <c r="A138" s="280" t="s">
        <v>175</v>
      </c>
      <c r="B138" s="280" t="s">
        <v>1066</v>
      </c>
      <c r="C138" s="280" t="n">
        <v>0</v>
      </c>
      <c r="D138" s="280" t="n">
        <v>0</v>
      </c>
      <c r="E138" s="280" t="n">
        <v>0</v>
      </c>
      <c r="F138" s="280" t="n">
        <v>1</v>
      </c>
      <c r="G138" s="280" t="n">
        <v>0</v>
      </c>
      <c r="H138" s="280" t="n">
        <v>0</v>
      </c>
      <c r="I138" s="280" t="n">
        <v>0</v>
      </c>
      <c r="J138" s="280" t="n">
        <v>0</v>
      </c>
      <c r="K138" s="280"/>
      <c r="L138" s="280" t="s">
        <v>720</v>
      </c>
      <c r="M138" s="280" t="s">
        <v>522</v>
      </c>
      <c r="N138" s="280"/>
      <c r="O138" s="280"/>
      <c r="P138" s="280" t="s">
        <v>1067</v>
      </c>
      <c r="Q138" s="280" t="s">
        <v>1068</v>
      </c>
      <c r="R138" s="280"/>
      <c r="S138" s="280" t="s">
        <v>1069</v>
      </c>
      <c r="T138" s="280" t="s">
        <v>1070</v>
      </c>
      <c r="U138" s="280" t="s">
        <v>31</v>
      </c>
      <c r="V138" s="280" t="s">
        <v>522</v>
      </c>
      <c r="W138" s="280" t="s">
        <v>594</v>
      </c>
      <c r="X138" s="280" t="n">
        <f aca="false">IF($W138="Critical Importance",20,IF($W138="Minor Importance",5,10))</f>
        <v>10</v>
      </c>
    </row>
    <row r="139" customFormat="false" ht="204.45" hidden="false" customHeight="false" outlineLevel="0" collapsed="false">
      <c r="A139" s="282" t="s">
        <v>176</v>
      </c>
      <c r="B139" s="280" t="s">
        <v>1071</v>
      </c>
      <c r="C139" s="280" t="n">
        <v>0</v>
      </c>
      <c r="D139" s="280" t="n">
        <v>0</v>
      </c>
      <c r="E139" s="280" t="n">
        <v>0</v>
      </c>
      <c r="F139" s="280" t="n">
        <v>1</v>
      </c>
      <c r="G139" s="280" t="n">
        <v>0</v>
      </c>
      <c r="H139" s="280" t="n">
        <v>0</v>
      </c>
      <c r="I139" s="280" t="n">
        <v>0</v>
      </c>
      <c r="J139" s="280" t="n">
        <v>0</v>
      </c>
      <c r="K139" s="280"/>
      <c r="L139" s="280" t="s">
        <v>720</v>
      </c>
      <c r="M139" s="280" t="s">
        <v>522</v>
      </c>
      <c r="N139" s="280"/>
      <c r="O139" s="280"/>
      <c r="P139" s="280" t="s">
        <v>1072</v>
      </c>
      <c r="Q139" s="280" t="s">
        <v>1073</v>
      </c>
      <c r="R139" s="280"/>
      <c r="S139" s="280" t="s">
        <v>1074</v>
      </c>
      <c r="T139" s="280" t="s">
        <v>1075</v>
      </c>
      <c r="U139" s="280" t="s">
        <v>31</v>
      </c>
      <c r="V139" s="280" t="s">
        <v>522</v>
      </c>
      <c r="W139" s="280" t="s">
        <v>594</v>
      </c>
      <c r="X139" s="280" t="n">
        <f aca="false">IF($W139="Critical Importance",20,IF($W139="Minor Importance",5,10))</f>
        <v>10</v>
      </c>
    </row>
    <row r="140" customFormat="false" ht="204.45" hidden="false" customHeight="false" outlineLevel="0" collapsed="false">
      <c r="A140" s="280" t="s">
        <v>177</v>
      </c>
      <c r="B140" s="280" t="s">
        <v>1076</v>
      </c>
      <c r="C140" s="280" t="n">
        <v>0</v>
      </c>
      <c r="D140" s="280" t="n">
        <v>0</v>
      </c>
      <c r="E140" s="280" t="n">
        <v>0</v>
      </c>
      <c r="F140" s="280" t="n">
        <v>1</v>
      </c>
      <c r="G140" s="280" t="n">
        <v>0</v>
      </c>
      <c r="H140" s="280" t="n">
        <v>0</v>
      </c>
      <c r="I140" s="280" t="n">
        <v>0</v>
      </c>
      <c r="J140" s="280" t="n">
        <v>0</v>
      </c>
      <c r="K140" s="280"/>
      <c r="L140" s="280" t="s">
        <v>720</v>
      </c>
      <c r="M140" s="280" t="s">
        <v>522</v>
      </c>
      <c r="N140" s="280"/>
      <c r="O140" s="280"/>
      <c r="P140" s="280" t="s">
        <v>1077</v>
      </c>
      <c r="Q140" s="280"/>
      <c r="R140" s="280"/>
      <c r="S140" s="280" t="s">
        <v>1074</v>
      </c>
      <c r="T140" s="280" t="s">
        <v>1075</v>
      </c>
      <c r="U140" s="280" t="s">
        <v>31</v>
      </c>
      <c r="V140" s="280" t="s">
        <v>522</v>
      </c>
      <c r="W140" s="280" t="s">
        <v>538</v>
      </c>
      <c r="X140" s="280" t="n">
        <f aca="false">IF($W140="Critical Importance",20,IF($W140="Minor Importance",5,10))</f>
        <v>20</v>
      </c>
    </row>
    <row r="141" customFormat="false" ht="214.5" hidden="false" customHeight="true" outlineLevel="0" collapsed="false">
      <c r="A141" s="282" t="s">
        <v>178</v>
      </c>
      <c r="B141" s="280" t="s">
        <v>1078</v>
      </c>
      <c r="C141" s="280" t="n">
        <v>0</v>
      </c>
      <c r="D141" s="280" t="n">
        <v>0</v>
      </c>
      <c r="E141" s="280" t="n">
        <v>0</v>
      </c>
      <c r="F141" s="280" t="n">
        <v>1</v>
      </c>
      <c r="G141" s="280" t="n">
        <v>0</v>
      </c>
      <c r="H141" s="280" t="n">
        <v>0</v>
      </c>
      <c r="I141" s="280" t="n">
        <v>0</v>
      </c>
      <c r="J141" s="280" t="n">
        <v>0</v>
      </c>
      <c r="K141" s="280"/>
      <c r="L141" s="280" t="s">
        <v>720</v>
      </c>
      <c r="M141" s="280" t="s">
        <v>522</v>
      </c>
      <c r="N141" s="280"/>
      <c r="O141" s="280"/>
      <c r="P141" s="280" t="s">
        <v>1079</v>
      </c>
      <c r="Q141" s="280" t="s">
        <v>1080</v>
      </c>
      <c r="R141" s="280"/>
      <c r="S141" s="280" t="s">
        <v>1081</v>
      </c>
      <c r="T141" s="280" t="s">
        <v>1082</v>
      </c>
      <c r="U141" s="280" t="s">
        <v>31</v>
      </c>
      <c r="V141" s="280" t="s">
        <v>522</v>
      </c>
      <c r="W141" s="280" t="s">
        <v>594</v>
      </c>
      <c r="X141" s="280" t="n">
        <f aca="false">IF($W141="Critical Importance",20,IF($W141="Minor Importance",5,10))</f>
        <v>10</v>
      </c>
    </row>
    <row r="142" customFormat="false" ht="90.25" hidden="false" customHeight="false" outlineLevel="0" collapsed="false">
      <c r="A142" s="280" t="s">
        <v>179</v>
      </c>
      <c r="B142" s="280" t="s">
        <v>1083</v>
      </c>
      <c r="C142" s="280" t="n">
        <v>0</v>
      </c>
      <c r="D142" s="280" t="n">
        <v>0</v>
      </c>
      <c r="E142" s="280" t="n">
        <v>0</v>
      </c>
      <c r="F142" s="280" t="n">
        <v>1</v>
      </c>
      <c r="G142" s="280" t="n">
        <v>0</v>
      </c>
      <c r="H142" s="280" t="n">
        <v>0</v>
      </c>
      <c r="I142" s="280" t="n">
        <v>0</v>
      </c>
      <c r="J142" s="280" t="n">
        <v>0</v>
      </c>
      <c r="K142" s="280"/>
      <c r="L142" s="280" t="s">
        <v>720</v>
      </c>
      <c r="M142" s="280" t="s">
        <v>522</v>
      </c>
      <c r="N142" s="280"/>
      <c r="O142" s="280"/>
      <c r="P142" s="280" t="s">
        <v>1084</v>
      </c>
      <c r="Q142" s="280" t="s">
        <v>1085</v>
      </c>
      <c r="R142" s="280"/>
      <c r="S142" s="280" t="s">
        <v>1086</v>
      </c>
      <c r="T142" s="280" t="s">
        <v>1087</v>
      </c>
      <c r="U142" s="280" t="s">
        <v>31</v>
      </c>
      <c r="V142" s="280" t="s">
        <v>522</v>
      </c>
      <c r="W142" s="280" t="s">
        <v>594</v>
      </c>
      <c r="X142" s="280" t="n">
        <f aca="false">IF($W142="Critical Importance",20,IF($W142="Minor Importance",5,10))</f>
        <v>10</v>
      </c>
    </row>
    <row r="143" customFormat="false" ht="90.25" hidden="false" customHeight="false" outlineLevel="0" collapsed="false">
      <c r="A143" s="282" t="s">
        <v>180</v>
      </c>
      <c r="B143" s="280" t="s">
        <v>1088</v>
      </c>
      <c r="C143" s="280" t="n">
        <v>0</v>
      </c>
      <c r="D143" s="280" t="n">
        <v>0</v>
      </c>
      <c r="E143" s="280" t="n">
        <v>0</v>
      </c>
      <c r="F143" s="280" t="n">
        <v>1</v>
      </c>
      <c r="G143" s="280" t="n">
        <v>0</v>
      </c>
      <c r="H143" s="280" t="n">
        <v>0</v>
      </c>
      <c r="I143" s="280" t="n">
        <v>0</v>
      </c>
      <c r="J143" s="280" t="n">
        <v>0</v>
      </c>
      <c r="K143" s="280"/>
      <c r="L143" s="280" t="s">
        <v>720</v>
      </c>
      <c r="M143" s="280" t="s">
        <v>522</v>
      </c>
      <c r="N143" s="280"/>
      <c r="O143" s="280"/>
      <c r="P143" s="280" t="s">
        <v>1089</v>
      </c>
      <c r="Q143" s="280" t="s">
        <v>1090</v>
      </c>
      <c r="R143" s="280"/>
      <c r="S143" s="280" t="s">
        <v>1086</v>
      </c>
      <c r="T143" s="280" t="s">
        <v>1087</v>
      </c>
      <c r="U143" s="280" t="s">
        <v>31</v>
      </c>
      <c r="V143" s="280" t="s">
        <v>522</v>
      </c>
      <c r="W143" s="280" t="s">
        <v>594</v>
      </c>
      <c r="X143" s="280" t="n">
        <f aca="false">IF($W143="Critical Importance",20,IF($W143="Minor Importance",5,10))</f>
        <v>10</v>
      </c>
    </row>
    <row r="144" customFormat="false" ht="192.75" hidden="false" customHeight="true" outlineLevel="0" collapsed="false">
      <c r="A144" s="280" t="s">
        <v>181</v>
      </c>
      <c r="B144" s="280" t="s">
        <v>1091</v>
      </c>
      <c r="C144" s="280" t="n">
        <v>0</v>
      </c>
      <c r="D144" s="280" t="n">
        <v>0</v>
      </c>
      <c r="E144" s="280" t="n">
        <v>0</v>
      </c>
      <c r="F144" s="280" t="n">
        <v>1</v>
      </c>
      <c r="G144" s="280" t="n">
        <v>0</v>
      </c>
      <c r="H144" s="280" t="n">
        <v>0</v>
      </c>
      <c r="I144" s="280" t="n">
        <v>0</v>
      </c>
      <c r="J144" s="280" t="n">
        <v>0</v>
      </c>
      <c r="K144" s="280"/>
      <c r="L144" s="280" t="s">
        <v>720</v>
      </c>
      <c r="M144" s="280" t="s">
        <v>522</v>
      </c>
      <c r="N144" s="280"/>
      <c r="O144" s="280"/>
      <c r="P144" s="280" t="s">
        <v>1092</v>
      </c>
      <c r="Q144" s="280" t="s">
        <v>1093</v>
      </c>
      <c r="R144" s="280"/>
      <c r="S144" s="280" t="s">
        <v>1094</v>
      </c>
      <c r="T144" s="280" t="s">
        <v>1095</v>
      </c>
      <c r="U144" s="280" t="s">
        <v>31</v>
      </c>
      <c r="V144" s="280" t="s">
        <v>522</v>
      </c>
      <c r="W144" s="280" t="s">
        <v>538</v>
      </c>
      <c r="X144" s="280" t="n">
        <f aca="false">IF($W144="Critical Importance",20,IF($W144="Minor Importance",5,10))</f>
        <v>20</v>
      </c>
    </row>
    <row r="145" customFormat="false" ht="153.7" hidden="false" customHeight="false" outlineLevel="0" collapsed="false">
      <c r="A145" s="282" t="s">
        <v>182</v>
      </c>
      <c r="B145" s="280" t="s">
        <v>1096</v>
      </c>
      <c r="C145" s="280" t="n">
        <v>0</v>
      </c>
      <c r="D145" s="280" t="n">
        <v>0</v>
      </c>
      <c r="E145" s="280" t="n">
        <v>0</v>
      </c>
      <c r="F145" s="280" t="n">
        <v>1</v>
      </c>
      <c r="G145" s="280" t="n">
        <v>0</v>
      </c>
      <c r="H145" s="280" t="n">
        <v>0</v>
      </c>
      <c r="I145" s="280" t="n">
        <v>0</v>
      </c>
      <c r="J145" s="280" t="n">
        <v>0</v>
      </c>
      <c r="K145" s="280"/>
      <c r="L145" s="280" t="s">
        <v>720</v>
      </c>
      <c r="M145" s="280" t="s">
        <v>522</v>
      </c>
      <c r="N145" s="280"/>
      <c r="O145" s="280"/>
      <c r="P145" s="280"/>
      <c r="Q145" s="280"/>
      <c r="R145" s="280"/>
      <c r="S145" s="280" t="s">
        <v>1097</v>
      </c>
      <c r="T145" s="280" t="s">
        <v>1098</v>
      </c>
      <c r="U145" s="280" t="s">
        <v>31</v>
      </c>
      <c r="V145" s="280" t="s">
        <v>522</v>
      </c>
      <c r="W145" s="280" t="s">
        <v>594</v>
      </c>
      <c r="X145" s="280" t="n">
        <f aca="false">IF($W145="Critical Importance",20,IF($W145="Minor Importance",5,10))</f>
        <v>10</v>
      </c>
    </row>
    <row r="146" customFormat="false" ht="90.25" hidden="false" customHeight="false" outlineLevel="0" collapsed="false">
      <c r="A146" s="280" t="s">
        <v>183</v>
      </c>
      <c r="B146" s="280" t="s">
        <v>1099</v>
      </c>
      <c r="C146" s="280" t="n">
        <v>0</v>
      </c>
      <c r="D146" s="280" t="n">
        <v>0</v>
      </c>
      <c r="E146" s="280" t="n">
        <v>0</v>
      </c>
      <c r="F146" s="280" t="n">
        <v>1</v>
      </c>
      <c r="G146" s="280" t="n">
        <v>0</v>
      </c>
      <c r="H146" s="280" t="n">
        <v>0</v>
      </c>
      <c r="I146" s="280" t="n">
        <v>0</v>
      </c>
      <c r="J146" s="280" t="n">
        <v>0</v>
      </c>
      <c r="K146" s="280"/>
      <c r="L146" s="280" t="s">
        <v>720</v>
      </c>
      <c r="M146" s="280" t="s">
        <v>522</v>
      </c>
      <c r="N146" s="280"/>
      <c r="O146" s="280" t="s">
        <v>1100</v>
      </c>
      <c r="P146" s="280" t="s">
        <v>1100</v>
      </c>
      <c r="Q146" s="280" t="s">
        <v>1101</v>
      </c>
      <c r="R146" s="280"/>
      <c r="S146" s="280" t="s">
        <v>1086</v>
      </c>
      <c r="T146" s="280" t="s">
        <v>1087</v>
      </c>
      <c r="U146" s="280" t="s">
        <v>31</v>
      </c>
      <c r="V146" s="280" t="s">
        <v>522</v>
      </c>
      <c r="W146" s="280" t="s">
        <v>594</v>
      </c>
      <c r="X146" s="280" t="n">
        <f aca="false">IF($W146="Critical Importance",20,IF($W146="Minor Importance",5,10))</f>
        <v>10</v>
      </c>
    </row>
    <row r="147" customFormat="false" ht="90.25" hidden="false" customHeight="false" outlineLevel="0" collapsed="false">
      <c r="A147" s="282" t="s">
        <v>184</v>
      </c>
      <c r="B147" s="280" t="s">
        <v>1102</v>
      </c>
      <c r="C147" s="280" t="n">
        <v>0</v>
      </c>
      <c r="D147" s="280" t="n">
        <v>0</v>
      </c>
      <c r="E147" s="280" t="n">
        <v>0</v>
      </c>
      <c r="F147" s="280" t="n">
        <v>1</v>
      </c>
      <c r="G147" s="280" t="n">
        <v>0</v>
      </c>
      <c r="H147" s="280" t="n">
        <v>0</v>
      </c>
      <c r="I147" s="280" t="n">
        <v>0</v>
      </c>
      <c r="J147" s="280" t="n">
        <v>0</v>
      </c>
      <c r="K147" s="280"/>
      <c r="L147" s="280" t="s">
        <v>720</v>
      </c>
      <c r="M147" s="280" t="s">
        <v>522</v>
      </c>
      <c r="N147" s="280"/>
      <c r="O147" s="280"/>
      <c r="P147" s="280" t="s">
        <v>1103</v>
      </c>
      <c r="Q147" s="280" t="s">
        <v>1104</v>
      </c>
      <c r="R147" s="280"/>
      <c r="S147" s="280" t="s">
        <v>1086</v>
      </c>
      <c r="T147" s="280" t="s">
        <v>1087</v>
      </c>
      <c r="U147" s="280" t="s">
        <v>31</v>
      </c>
      <c r="V147" s="280" t="s">
        <v>522</v>
      </c>
      <c r="W147" s="280" t="s">
        <v>594</v>
      </c>
      <c r="X147" s="280" t="n">
        <f aca="false">IF($W147="Critical Importance",20,IF($W147="Minor Importance",5,10))</f>
        <v>10</v>
      </c>
    </row>
    <row r="148" customFormat="false" ht="128.35" hidden="false" customHeight="false" outlineLevel="0" collapsed="false">
      <c r="A148" s="280" t="s">
        <v>185</v>
      </c>
      <c r="B148" s="280" t="s">
        <v>1105</v>
      </c>
      <c r="C148" s="280" t="n">
        <v>0</v>
      </c>
      <c r="D148" s="280" t="n">
        <v>0</v>
      </c>
      <c r="E148" s="280" t="n">
        <v>0</v>
      </c>
      <c r="F148" s="280" t="n">
        <v>1</v>
      </c>
      <c r="G148" s="280" t="n">
        <v>0</v>
      </c>
      <c r="H148" s="280" t="n">
        <v>0</v>
      </c>
      <c r="I148" s="280" t="n">
        <v>0</v>
      </c>
      <c r="J148" s="280" t="n">
        <v>0</v>
      </c>
      <c r="K148" s="280"/>
      <c r="L148" s="280" t="s">
        <v>720</v>
      </c>
      <c r="M148" s="280" t="s">
        <v>522</v>
      </c>
      <c r="N148" s="280"/>
      <c r="O148" s="280"/>
      <c r="P148" s="280" t="s">
        <v>1106</v>
      </c>
      <c r="Q148" s="280" t="s">
        <v>1107</v>
      </c>
      <c r="R148" s="280"/>
      <c r="S148" s="280" t="s">
        <v>1108</v>
      </c>
      <c r="T148" s="280" t="s">
        <v>866</v>
      </c>
      <c r="U148" s="280" t="s">
        <v>31</v>
      </c>
      <c r="V148" s="280" t="s">
        <v>522</v>
      </c>
      <c r="W148" s="280" t="s">
        <v>594</v>
      </c>
      <c r="X148" s="280" t="n">
        <f aca="false">IF($W148="Critical Importance",20,IF($W148="Minor Importance",5,10))</f>
        <v>10</v>
      </c>
    </row>
    <row r="149" customFormat="false" ht="64.9" hidden="false" customHeight="false" outlineLevel="0" collapsed="false">
      <c r="A149" s="282" t="s">
        <v>186</v>
      </c>
      <c r="B149" s="280" t="s">
        <v>1109</v>
      </c>
      <c r="C149" s="280" t="n">
        <v>0</v>
      </c>
      <c r="D149" s="280" t="n">
        <v>0</v>
      </c>
      <c r="E149" s="280" t="n">
        <v>0</v>
      </c>
      <c r="F149" s="280" t="n">
        <v>1</v>
      </c>
      <c r="G149" s="280" t="n">
        <v>0</v>
      </c>
      <c r="H149" s="280" t="n">
        <v>0</v>
      </c>
      <c r="I149" s="280" t="n">
        <v>0</v>
      </c>
      <c r="J149" s="280" t="n">
        <v>0</v>
      </c>
      <c r="K149" s="280"/>
      <c r="L149" s="280" t="s">
        <v>720</v>
      </c>
      <c r="M149" s="280" t="s">
        <v>522</v>
      </c>
      <c r="N149" s="280"/>
      <c r="O149" s="280"/>
      <c r="P149" s="280" t="s">
        <v>1110</v>
      </c>
      <c r="Q149" s="280"/>
      <c r="R149" s="280"/>
      <c r="S149" s="280" t="s">
        <v>1111</v>
      </c>
      <c r="T149" s="280" t="s">
        <v>1112</v>
      </c>
      <c r="U149" s="280" t="s">
        <v>31</v>
      </c>
      <c r="V149" s="280" t="s">
        <v>522</v>
      </c>
      <c r="W149" s="280" t="s">
        <v>594</v>
      </c>
      <c r="X149" s="280" t="n">
        <f aca="false">IF($W149="Critical Importance",20,IF($W149="Minor Importance",5,10))</f>
        <v>10</v>
      </c>
    </row>
    <row r="150" customFormat="false" ht="267.9" hidden="false" customHeight="false" outlineLevel="0" collapsed="false">
      <c r="A150" s="280" t="s">
        <v>187</v>
      </c>
      <c r="B150" s="280" t="s">
        <v>1113</v>
      </c>
      <c r="C150" s="280" t="n">
        <v>0</v>
      </c>
      <c r="D150" s="280" t="n">
        <v>0</v>
      </c>
      <c r="E150" s="280" t="n">
        <v>0</v>
      </c>
      <c r="F150" s="280" t="n">
        <v>1</v>
      </c>
      <c r="G150" s="280" t="n">
        <v>0</v>
      </c>
      <c r="H150" s="280" t="n">
        <v>0</v>
      </c>
      <c r="I150" s="280" t="n">
        <v>0</v>
      </c>
      <c r="J150" s="280" t="n">
        <v>0</v>
      </c>
      <c r="K150" s="280"/>
      <c r="L150" s="280" t="s">
        <v>720</v>
      </c>
      <c r="M150" s="280" t="s">
        <v>522</v>
      </c>
      <c r="N150" s="280"/>
      <c r="O150" s="280" t="s">
        <v>1114</v>
      </c>
      <c r="P150" s="280" t="s">
        <v>1114</v>
      </c>
      <c r="Q150" s="280" t="s">
        <v>1114</v>
      </c>
      <c r="R150" s="280"/>
      <c r="S150" s="280" t="s">
        <v>1050</v>
      </c>
      <c r="T150" s="280" t="s">
        <v>1051</v>
      </c>
      <c r="U150" s="280" t="s">
        <v>26</v>
      </c>
      <c r="V150" s="280" t="s">
        <v>522</v>
      </c>
      <c r="W150" s="280" t="s">
        <v>594</v>
      </c>
      <c r="X150" s="280" t="n">
        <f aca="false">IF($W150="Critical Importance",20,IF($W150="Minor Importance",5,10))</f>
        <v>10</v>
      </c>
    </row>
    <row r="151" customFormat="false" ht="183" hidden="false" customHeight="true" outlineLevel="0" collapsed="false">
      <c r="A151" s="280" t="s">
        <v>188</v>
      </c>
      <c r="B151" s="280" t="s">
        <v>1115</v>
      </c>
      <c r="C151" s="280" t="n">
        <v>0</v>
      </c>
      <c r="D151" s="280" t="n">
        <v>0</v>
      </c>
      <c r="E151" s="280" t="n">
        <v>0</v>
      </c>
      <c r="F151" s="280" t="n">
        <v>1</v>
      </c>
      <c r="G151" s="280" t="n">
        <v>0</v>
      </c>
      <c r="H151" s="280" t="n">
        <v>0</v>
      </c>
      <c r="I151" s="280" t="n">
        <v>0</v>
      </c>
      <c r="J151" s="280" t="n">
        <v>1</v>
      </c>
      <c r="K151" s="280"/>
      <c r="L151" s="280" t="s">
        <v>720</v>
      </c>
      <c r="M151" s="280" t="s">
        <v>522</v>
      </c>
      <c r="N151" s="280" t="s">
        <v>721</v>
      </c>
      <c r="O151" s="280"/>
      <c r="P151" s="280" t="s">
        <v>1116</v>
      </c>
      <c r="Q151" s="280" t="s">
        <v>1117</v>
      </c>
      <c r="R151" s="280"/>
      <c r="S151" s="280" t="s">
        <v>1118</v>
      </c>
      <c r="T151" s="280" t="s">
        <v>1119</v>
      </c>
      <c r="U151" s="280" t="s">
        <v>31</v>
      </c>
      <c r="V151" s="280" t="s">
        <v>522</v>
      </c>
      <c r="W151" s="280" t="s">
        <v>538</v>
      </c>
      <c r="X151" s="280" t="n">
        <f aca="false">IF($W151="Critical Importance",20,IF($W151="Minor Importance",5,10))</f>
        <v>20</v>
      </c>
    </row>
    <row r="152" customFormat="false" ht="181.5" hidden="false" customHeight="true" outlineLevel="0" collapsed="false">
      <c r="A152" s="280" t="s">
        <v>189</v>
      </c>
      <c r="B152" s="280" t="s">
        <v>1120</v>
      </c>
      <c r="C152" s="280" t="n">
        <v>0</v>
      </c>
      <c r="D152" s="280" t="n">
        <v>0</v>
      </c>
      <c r="E152" s="280" t="n">
        <v>0</v>
      </c>
      <c r="F152" s="280" t="n">
        <v>1</v>
      </c>
      <c r="G152" s="280" t="n">
        <v>0</v>
      </c>
      <c r="H152" s="280" t="n">
        <v>0</v>
      </c>
      <c r="I152" s="280" t="n">
        <v>0</v>
      </c>
      <c r="J152" s="280" t="n">
        <v>1</v>
      </c>
      <c r="K152" s="280"/>
      <c r="L152" s="280" t="s">
        <v>720</v>
      </c>
      <c r="M152" s="280" t="s">
        <v>522</v>
      </c>
      <c r="N152" s="280" t="s">
        <v>721</v>
      </c>
      <c r="O152" s="280"/>
      <c r="P152" s="280" t="s">
        <v>1121</v>
      </c>
      <c r="Q152" s="280" t="s">
        <v>1122</v>
      </c>
      <c r="R152" s="280"/>
      <c r="S152" s="280" t="s">
        <v>1123</v>
      </c>
      <c r="T152" s="280" t="s">
        <v>1124</v>
      </c>
      <c r="U152" s="280" t="s">
        <v>31</v>
      </c>
      <c r="V152" s="280" t="s">
        <v>522</v>
      </c>
      <c r="W152" s="280" t="s">
        <v>538</v>
      </c>
      <c r="X152" s="280" t="n">
        <f aca="false">IF($W152="Critical Importance",20,IF($W152="Minor Importance",5,10))</f>
        <v>20</v>
      </c>
    </row>
    <row r="153" customFormat="false" ht="204.75" hidden="false" customHeight="true" outlineLevel="0" collapsed="false">
      <c r="A153" s="280" t="s">
        <v>190</v>
      </c>
      <c r="B153" s="280" t="s">
        <v>1125</v>
      </c>
      <c r="C153" s="280" t="n">
        <v>0</v>
      </c>
      <c r="D153" s="280" t="n">
        <v>0</v>
      </c>
      <c r="E153" s="280" t="n">
        <v>0</v>
      </c>
      <c r="F153" s="280" t="n">
        <v>1</v>
      </c>
      <c r="G153" s="280" t="n">
        <v>0</v>
      </c>
      <c r="H153" s="280" t="n">
        <v>0</v>
      </c>
      <c r="I153" s="280" t="n">
        <v>0</v>
      </c>
      <c r="J153" s="280" t="n">
        <v>1</v>
      </c>
      <c r="K153" s="280"/>
      <c r="L153" s="280" t="s">
        <v>720</v>
      </c>
      <c r="M153" s="280" t="s">
        <v>522</v>
      </c>
      <c r="N153" s="280" t="s">
        <v>721</v>
      </c>
      <c r="O153" s="280"/>
      <c r="P153" s="280" t="s">
        <v>1126</v>
      </c>
      <c r="Q153" s="280" t="s">
        <v>1127</v>
      </c>
      <c r="R153" s="280"/>
      <c r="S153" s="280" t="s">
        <v>1128</v>
      </c>
      <c r="T153" s="280" t="s">
        <v>1129</v>
      </c>
      <c r="U153" s="280" t="s">
        <v>31</v>
      </c>
      <c r="V153" s="280" t="s">
        <v>522</v>
      </c>
      <c r="W153" s="280" t="s">
        <v>538</v>
      </c>
      <c r="X153" s="280" t="n">
        <f aca="false">IF($W153="Critical Importance",20,IF($W153="Minor Importance",5,10))</f>
        <v>20</v>
      </c>
    </row>
    <row r="154" customFormat="false" ht="203.25" hidden="false" customHeight="true" outlineLevel="0" collapsed="false">
      <c r="A154" s="280" t="s">
        <v>191</v>
      </c>
      <c r="B154" s="280" t="s">
        <v>1130</v>
      </c>
      <c r="C154" s="280" t="n">
        <v>0</v>
      </c>
      <c r="D154" s="280" t="n">
        <v>0</v>
      </c>
      <c r="E154" s="280" t="n">
        <v>0</v>
      </c>
      <c r="F154" s="280" t="n">
        <v>1</v>
      </c>
      <c r="G154" s="280" t="n">
        <v>0</v>
      </c>
      <c r="H154" s="280" t="n">
        <v>0</v>
      </c>
      <c r="I154" s="280" t="n">
        <v>0</v>
      </c>
      <c r="J154" s="280" t="n">
        <v>0</v>
      </c>
      <c r="K154" s="280"/>
      <c r="L154" s="280" t="s">
        <v>720</v>
      </c>
      <c r="M154" s="280" t="s">
        <v>522</v>
      </c>
      <c r="N154" s="280" t="s">
        <v>721</v>
      </c>
      <c r="O154" s="280"/>
      <c r="P154" s="280" t="s">
        <v>1131</v>
      </c>
      <c r="Q154" s="280" t="s">
        <v>1132</v>
      </c>
      <c r="R154" s="280" t="s">
        <v>712</v>
      </c>
      <c r="S154" s="280" t="s">
        <v>1128</v>
      </c>
      <c r="T154" s="280" t="s">
        <v>1133</v>
      </c>
      <c r="U154" s="280" t="s">
        <v>31</v>
      </c>
      <c r="V154" s="280" t="s">
        <v>522</v>
      </c>
      <c r="W154" s="280" t="s">
        <v>538</v>
      </c>
      <c r="X154" s="280" t="n">
        <f aca="false">IF($W154="Critical Importance",20,IF($W154="Minor Importance",5,10))</f>
        <v>20</v>
      </c>
    </row>
    <row r="155" customFormat="false" ht="191.75" hidden="false" customHeight="false" outlineLevel="0" collapsed="false">
      <c r="A155" s="280" t="s">
        <v>192</v>
      </c>
      <c r="B155" s="280" t="s">
        <v>1134</v>
      </c>
      <c r="C155" s="280" t="n">
        <v>0</v>
      </c>
      <c r="D155" s="280" t="n">
        <v>0</v>
      </c>
      <c r="E155" s="280" t="n">
        <v>0</v>
      </c>
      <c r="F155" s="280" t="n">
        <v>1</v>
      </c>
      <c r="G155" s="280" t="n">
        <v>0</v>
      </c>
      <c r="H155" s="280" t="n">
        <v>0</v>
      </c>
      <c r="I155" s="280" t="n">
        <v>0</v>
      </c>
      <c r="J155" s="280" t="n">
        <v>0</v>
      </c>
      <c r="K155" s="280"/>
      <c r="L155" s="280" t="s">
        <v>720</v>
      </c>
      <c r="M155" s="280" t="s">
        <v>522</v>
      </c>
      <c r="N155" s="280" t="s">
        <v>721</v>
      </c>
      <c r="O155" s="280"/>
      <c r="P155" s="280" t="s">
        <v>1135</v>
      </c>
      <c r="Q155" s="280" t="s">
        <v>1136</v>
      </c>
      <c r="R155" s="280"/>
      <c r="S155" s="280" t="s">
        <v>1137</v>
      </c>
      <c r="T155" s="280" t="s">
        <v>1138</v>
      </c>
      <c r="U155" s="280" t="s">
        <v>31</v>
      </c>
      <c r="V155" s="280" t="s">
        <v>522</v>
      </c>
      <c r="W155" s="280" t="s">
        <v>538</v>
      </c>
      <c r="X155" s="280" t="n">
        <f aca="false">IF($W155="Critical Importance",20,IF($W155="Minor Importance",5,10))</f>
        <v>20</v>
      </c>
    </row>
    <row r="156" customFormat="false" ht="165.75" hidden="false" customHeight="true" outlineLevel="0" collapsed="false">
      <c r="A156" s="280" t="s">
        <v>193</v>
      </c>
      <c r="B156" s="280" t="s">
        <v>1139</v>
      </c>
      <c r="C156" s="280" t="n">
        <v>0</v>
      </c>
      <c r="D156" s="280" t="n">
        <v>0</v>
      </c>
      <c r="E156" s="280" t="n">
        <v>0</v>
      </c>
      <c r="F156" s="280" t="n">
        <v>1</v>
      </c>
      <c r="G156" s="280" t="n">
        <v>0</v>
      </c>
      <c r="H156" s="280" t="n">
        <v>0</v>
      </c>
      <c r="I156" s="280" t="n">
        <v>0</v>
      </c>
      <c r="J156" s="280" t="n">
        <v>1</v>
      </c>
      <c r="K156" s="280"/>
      <c r="L156" s="280" t="s">
        <v>720</v>
      </c>
      <c r="M156" s="280" t="s">
        <v>522</v>
      </c>
      <c r="N156" s="280" t="s">
        <v>721</v>
      </c>
      <c r="O156" s="280"/>
      <c r="P156" s="280" t="s">
        <v>1140</v>
      </c>
      <c r="Q156" s="280" t="s">
        <v>1141</v>
      </c>
      <c r="R156" s="280"/>
      <c r="S156" s="280" t="s">
        <v>1142</v>
      </c>
      <c r="T156" s="280" t="s">
        <v>1143</v>
      </c>
      <c r="U156" s="280" t="s">
        <v>31</v>
      </c>
      <c r="V156" s="280" t="s">
        <v>522</v>
      </c>
      <c r="W156" s="280" t="s">
        <v>594</v>
      </c>
      <c r="X156" s="280" t="n">
        <f aca="false">IF($W156="Critical Importance",20,IF($W156="Minor Importance",5,10))</f>
        <v>10</v>
      </c>
    </row>
    <row r="157" customFormat="false" ht="216" hidden="false" customHeight="true" outlineLevel="0" collapsed="false">
      <c r="A157" s="280" t="s">
        <v>194</v>
      </c>
      <c r="B157" s="280" t="s">
        <v>1144</v>
      </c>
      <c r="C157" s="280" t="n">
        <v>0</v>
      </c>
      <c r="D157" s="280" t="n">
        <v>0</v>
      </c>
      <c r="E157" s="280" t="n">
        <v>0</v>
      </c>
      <c r="F157" s="280" t="n">
        <v>1</v>
      </c>
      <c r="G157" s="280" t="n">
        <v>0</v>
      </c>
      <c r="H157" s="280" t="n">
        <v>0</v>
      </c>
      <c r="I157" s="280" t="n">
        <v>0</v>
      </c>
      <c r="J157" s="280" t="n">
        <v>1</v>
      </c>
      <c r="K157" s="280"/>
      <c r="L157" s="280" t="s">
        <v>720</v>
      </c>
      <c r="M157" s="280" t="s">
        <v>522</v>
      </c>
      <c r="N157" s="280" t="s">
        <v>721</v>
      </c>
      <c r="O157" s="280"/>
      <c r="P157" s="280" t="s">
        <v>1145</v>
      </c>
      <c r="Q157" s="280" t="s">
        <v>1146</v>
      </c>
      <c r="R157" s="280"/>
      <c r="S157" s="280" t="s">
        <v>1147</v>
      </c>
      <c r="T157" s="280" t="s">
        <v>1148</v>
      </c>
      <c r="U157" s="280" t="s">
        <v>31</v>
      </c>
      <c r="V157" s="280" t="s">
        <v>522</v>
      </c>
      <c r="W157" s="280" t="s">
        <v>594</v>
      </c>
      <c r="X157" s="280" t="n">
        <f aca="false">IF($W157="Critical Importance",20,IF($W157="Minor Importance",5,10))</f>
        <v>10</v>
      </c>
    </row>
    <row r="158" customFormat="false" ht="210.75" hidden="false" customHeight="true" outlineLevel="0" collapsed="false">
      <c r="A158" s="280" t="s">
        <v>195</v>
      </c>
      <c r="B158" s="280" t="s">
        <v>1149</v>
      </c>
      <c r="C158" s="280" t="n">
        <v>0</v>
      </c>
      <c r="D158" s="280" t="n">
        <v>0</v>
      </c>
      <c r="E158" s="280" t="n">
        <v>0</v>
      </c>
      <c r="F158" s="280" t="n">
        <v>1</v>
      </c>
      <c r="G158" s="280" t="n">
        <v>0</v>
      </c>
      <c r="H158" s="280" t="n">
        <v>0</v>
      </c>
      <c r="I158" s="280" t="n">
        <v>0</v>
      </c>
      <c r="J158" s="280" t="n">
        <v>0</v>
      </c>
      <c r="K158" s="280"/>
      <c r="L158" s="280" t="s">
        <v>720</v>
      </c>
      <c r="M158" s="280" t="s">
        <v>522</v>
      </c>
      <c r="N158" s="280" t="s">
        <v>721</v>
      </c>
      <c r="O158" s="280"/>
      <c r="P158" s="280" t="s">
        <v>1150</v>
      </c>
      <c r="Q158" s="280" t="s">
        <v>1151</v>
      </c>
      <c r="R158" s="280" t="s">
        <v>712</v>
      </c>
      <c r="S158" s="280" t="s">
        <v>1147</v>
      </c>
      <c r="T158" s="280" t="s">
        <v>1152</v>
      </c>
      <c r="U158" s="280" t="s">
        <v>31</v>
      </c>
      <c r="V158" s="280" t="s">
        <v>522</v>
      </c>
      <c r="W158" s="280" t="s">
        <v>594</v>
      </c>
      <c r="X158" s="280" t="n">
        <f aca="false">IF($W158="Critical Importance",20,IF($W158="Minor Importance",5,10))</f>
        <v>10</v>
      </c>
    </row>
    <row r="159" customFormat="false" ht="175.5" hidden="false" customHeight="true" outlineLevel="0" collapsed="false">
      <c r="A159" s="280" t="s">
        <v>196</v>
      </c>
      <c r="B159" s="280" t="s">
        <v>1153</v>
      </c>
      <c r="C159" s="280" t="n">
        <v>0</v>
      </c>
      <c r="D159" s="280" t="n">
        <v>0</v>
      </c>
      <c r="E159" s="280" t="n">
        <v>0</v>
      </c>
      <c r="F159" s="280" t="n">
        <v>1</v>
      </c>
      <c r="G159" s="280" t="n">
        <v>0</v>
      </c>
      <c r="H159" s="280" t="n">
        <v>0</v>
      </c>
      <c r="I159" s="280" t="n">
        <v>0</v>
      </c>
      <c r="J159" s="280" t="n">
        <v>0</v>
      </c>
      <c r="K159" s="280"/>
      <c r="L159" s="280" t="s">
        <v>720</v>
      </c>
      <c r="M159" s="280" t="s">
        <v>522</v>
      </c>
      <c r="N159" s="280" t="s">
        <v>721</v>
      </c>
      <c r="O159" s="280"/>
      <c r="P159" s="280" t="s">
        <v>1154</v>
      </c>
      <c r="Q159" s="280" t="s">
        <v>1155</v>
      </c>
      <c r="R159" s="280"/>
      <c r="S159" s="280" t="s">
        <v>1156</v>
      </c>
      <c r="T159" s="280" t="s">
        <v>1157</v>
      </c>
      <c r="U159" s="280" t="s">
        <v>31</v>
      </c>
      <c r="V159" s="280" t="s">
        <v>522</v>
      </c>
      <c r="W159" s="280" t="s">
        <v>594</v>
      </c>
      <c r="X159" s="280" t="n">
        <f aca="false">IF($W159="Critical Importance",20,IF($W159="Minor Importance",5,10))</f>
        <v>10</v>
      </c>
    </row>
    <row r="160" customFormat="false" ht="192.75" hidden="false" customHeight="true" outlineLevel="0" collapsed="false">
      <c r="A160" s="280" t="s">
        <v>197</v>
      </c>
      <c r="B160" s="280" t="s">
        <v>1158</v>
      </c>
      <c r="C160" s="280" t="n">
        <v>0</v>
      </c>
      <c r="D160" s="280" t="n">
        <v>0</v>
      </c>
      <c r="E160" s="280" t="n">
        <v>0</v>
      </c>
      <c r="F160" s="280" t="n">
        <v>1</v>
      </c>
      <c r="G160" s="280" t="n">
        <v>0</v>
      </c>
      <c r="H160" s="280" t="n">
        <v>0</v>
      </c>
      <c r="I160" s="280" t="n">
        <v>0</v>
      </c>
      <c r="J160" s="280" t="n">
        <v>0</v>
      </c>
      <c r="K160" s="280"/>
      <c r="L160" s="280" t="s">
        <v>520</v>
      </c>
      <c r="M160" s="280" t="s">
        <v>522</v>
      </c>
      <c r="N160" s="280" t="s">
        <v>721</v>
      </c>
      <c r="O160" s="280" t="s">
        <v>1159</v>
      </c>
      <c r="P160" s="280" t="s">
        <v>1159</v>
      </c>
      <c r="Q160" s="280" t="s">
        <v>1159</v>
      </c>
      <c r="R160" s="280"/>
      <c r="S160" s="280" t="s">
        <v>1160</v>
      </c>
      <c r="T160" s="280" t="s">
        <v>1161</v>
      </c>
      <c r="U160" s="280" t="s">
        <v>520</v>
      </c>
      <c r="V160" s="280" t="s">
        <v>522</v>
      </c>
      <c r="W160" s="280"/>
      <c r="X160" s="280"/>
    </row>
    <row r="161" customFormat="false" ht="204.45" hidden="false" customHeight="false" outlineLevel="0" collapsed="false">
      <c r="A161" s="280" t="s">
        <v>198</v>
      </c>
      <c r="B161" s="280" t="s">
        <v>1162</v>
      </c>
      <c r="C161" s="280" t="n">
        <v>0</v>
      </c>
      <c r="D161" s="280" t="n">
        <v>0</v>
      </c>
      <c r="E161" s="280" t="n">
        <v>0</v>
      </c>
      <c r="F161" s="280" t="n">
        <v>1</v>
      </c>
      <c r="G161" s="280" t="n">
        <v>0</v>
      </c>
      <c r="H161" s="280" t="n">
        <v>0</v>
      </c>
      <c r="I161" s="280" t="n">
        <v>0</v>
      </c>
      <c r="J161" s="280" t="n">
        <v>1</v>
      </c>
      <c r="K161" s="280"/>
      <c r="L161" s="280" t="s">
        <v>720</v>
      </c>
      <c r="M161" s="280" t="s">
        <v>522</v>
      </c>
      <c r="N161" s="280" t="s">
        <v>721</v>
      </c>
      <c r="O161" s="280"/>
      <c r="P161" s="280" t="s">
        <v>1163</v>
      </c>
      <c r="Q161" s="280" t="s">
        <v>1164</v>
      </c>
      <c r="R161" s="280"/>
      <c r="S161" s="280" t="s">
        <v>1165</v>
      </c>
      <c r="T161" s="280" t="s">
        <v>1166</v>
      </c>
      <c r="U161" s="280" t="s">
        <v>31</v>
      </c>
      <c r="V161" s="280" t="s">
        <v>522</v>
      </c>
      <c r="W161" s="280" t="s">
        <v>547</v>
      </c>
      <c r="X161" s="280" t="n">
        <f aca="false">IF($W161="Critical Importance",20,IF($W161="Minor Importance",5,10))</f>
        <v>5</v>
      </c>
    </row>
    <row r="162" customFormat="false" ht="166.4" hidden="false" customHeight="false" outlineLevel="0" collapsed="false">
      <c r="A162" s="280" t="s">
        <v>93</v>
      </c>
      <c r="B162" s="280" t="s">
        <v>1167</v>
      </c>
      <c r="C162" s="280" t="n">
        <v>0</v>
      </c>
      <c r="D162" s="280" t="n">
        <v>1</v>
      </c>
      <c r="E162" s="280" t="n">
        <v>0</v>
      </c>
      <c r="F162" s="280" t="n">
        <v>0</v>
      </c>
      <c r="G162" s="280" t="n">
        <v>0</v>
      </c>
      <c r="H162" s="280" t="n">
        <v>0</v>
      </c>
      <c r="I162" s="280" t="n">
        <v>0</v>
      </c>
      <c r="J162" s="280" t="n">
        <v>0</v>
      </c>
      <c r="K162" s="280"/>
      <c r="L162" s="280" t="s">
        <v>587</v>
      </c>
      <c r="M162" s="280" t="s">
        <v>522</v>
      </c>
      <c r="N162" s="280"/>
      <c r="O162" s="280"/>
      <c r="P162" s="280"/>
      <c r="Q162" s="280"/>
      <c r="R162" s="280"/>
      <c r="S162" s="280" t="s">
        <v>1168</v>
      </c>
      <c r="T162" s="280" t="s">
        <v>1169</v>
      </c>
      <c r="U162" s="280" t="s">
        <v>31</v>
      </c>
      <c r="V162" s="280" t="s">
        <v>522</v>
      </c>
      <c r="W162" s="280" t="s">
        <v>538</v>
      </c>
      <c r="X162" s="280" t="n">
        <f aca="false">IF($W162="Critical Importance",20,IF($W162="Minor Importance",5,10))</f>
        <v>20</v>
      </c>
    </row>
    <row r="163" customFormat="false" ht="128.35" hidden="false" customHeight="false" outlineLevel="0" collapsed="false">
      <c r="A163" s="280" t="s">
        <v>94</v>
      </c>
      <c r="B163" s="280" t="s">
        <v>1170</v>
      </c>
      <c r="C163" s="280" t="n">
        <v>0</v>
      </c>
      <c r="D163" s="280" t="n">
        <v>1</v>
      </c>
      <c r="E163" s="280" t="n">
        <v>0</v>
      </c>
      <c r="F163" s="280" t="n">
        <v>0</v>
      </c>
      <c r="G163" s="280" t="n">
        <v>0</v>
      </c>
      <c r="H163" s="280" t="n">
        <v>0</v>
      </c>
      <c r="I163" s="280" t="n">
        <v>0</v>
      </c>
      <c r="J163" s="280" t="n">
        <v>0</v>
      </c>
      <c r="K163" s="280"/>
      <c r="L163" s="280" t="s">
        <v>587</v>
      </c>
      <c r="M163" s="280" t="s">
        <v>522</v>
      </c>
      <c r="N163" s="280"/>
      <c r="O163" s="280"/>
      <c r="P163" s="280" t="s">
        <v>1171</v>
      </c>
      <c r="Q163" s="280" t="s">
        <v>1172</v>
      </c>
      <c r="R163" s="280"/>
      <c r="S163" s="280" t="s">
        <v>1173</v>
      </c>
      <c r="T163" s="280" t="s">
        <v>1174</v>
      </c>
      <c r="U163" s="280" t="s">
        <v>31</v>
      </c>
      <c r="V163" s="280" t="s">
        <v>522</v>
      </c>
      <c r="W163" s="280" t="s">
        <v>538</v>
      </c>
      <c r="X163" s="280" t="n">
        <f aca="false">IF($W163="Critical Importance",20,IF($W163="Minor Importance",5,10))</f>
        <v>20</v>
      </c>
    </row>
    <row r="164" customFormat="false" ht="128.35" hidden="false" customHeight="false" outlineLevel="0" collapsed="false">
      <c r="A164" s="280" t="s">
        <v>96</v>
      </c>
      <c r="B164" s="280" t="s">
        <v>1175</v>
      </c>
      <c r="C164" s="280" t="n">
        <v>0</v>
      </c>
      <c r="D164" s="280" t="n">
        <v>1</v>
      </c>
      <c r="E164" s="280" t="n">
        <v>0</v>
      </c>
      <c r="F164" s="280" t="n">
        <v>0</v>
      </c>
      <c r="G164" s="280" t="n">
        <v>0</v>
      </c>
      <c r="H164" s="280" t="n">
        <v>0</v>
      </c>
      <c r="I164" s="280" t="n">
        <v>0</v>
      </c>
      <c r="J164" s="280" t="n">
        <v>0</v>
      </c>
      <c r="K164" s="280"/>
      <c r="L164" s="280" t="s">
        <v>587</v>
      </c>
      <c r="M164" s="280" t="s">
        <v>522</v>
      </c>
      <c r="N164" s="280"/>
      <c r="O164" s="280" t="s">
        <v>1176</v>
      </c>
      <c r="P164" s="280" t="s">
        <v>1176</v>
      </c>
      <c r="Q164" s="280" t="s">
        <v>1176</v>
      </c>
      <c r="R164" s="280"/>
      <c r="S164" s="280" t="s">
        <v>1177</v>
      </c>
      <c r="T164" s="280" t="s">
        <v>1178</v>
      </c>
      <c r="U164" s="280" t="s">
        <v>31</v>
      </c>
      <c r="V164" s="280" t="s">
        <v>522</v>
      </c>
      <c r="W164" s="280" t="s">
        <v>538</v>
      </c>
      <c r="X164" s="280" t="n">
        <f aca="false">IF($W164="Critical Importance",20,IF($W164="Minor Importance",5,10))</f>
        <v>20</v>
      </c>
    </row>
    <row r="165" customFormat="false" ht="179.1" hidden="false" customHeight="false" outlineLevel="0" collapsed="false">
      <c r="A165" s="280" t="s">
        <v>98</v>
      </c>
      <c r="B165" s="280" t="s">
        <v>1179</v>
      </c>
      <c r="C165" s="280" t="n">
        <v>0</v>
      </c>
      <c r="D165" s="280" t="n">
        <v>1</v>
      </c>
      <c r="E165" s="280" t="n">
        <v>0</v>
      </c>
      <c r="F165" s="280" t="n">
        <v>0</v>
      </c>
      <c r="G165" s="280" t="n">
        <v>0</v>
      </c>
      <c r="H165" s="280" t="n">
        <v>0</v>
      </c>
      <c r="I165" s="280" t="n">
        <v>0</v>
      </c>
      <c r="J165" s="280" t="n">
        <v>0</v>
      </c>
      <c r="K165" s="280"/>
      <c r="L165" s="280" t="s">
        <v>587</v>
      </c>
      <c r="M165" s="280" t="s">
        <v>522</v>
      </c>
      <c r="N165" s="280"/>
      <c r="O165" s="280"/>
      <c r="P165" s="280"/>
      <c r="Q165" s="280"/>
      <c r="R165" s="280"/>
      <c r="S165" s="280" t="s">
        <v>967</v>
      </c>
      <c r="T165" s="280" t="s">
        <v>968</v>
      </c>
      <c r="U165" s="280" t="s">
        <v>31</v>
      </c>
      <c r="V165" s="280" t="s">
        <v>522</v>
      </c>
      <c r="W165" s="280" t="s">
        <v>594</v>
      </c>
      <c r="X165" s="280" t="n">
        <f aca="false">IF($W165="Critical Importance",20,IF($W165="Minor Importance",5,10))</f>
        <v>10</v>
      </c>
    </row>
    <row r="166" customFormat="false" ht="179.1" hidden="false" customHeight="false" outlineLevel="0" collapsed="false">
      <c r="A166" s="280" t="s">
        <v>99</v>
      </c>
      <c r="B166" s="280" t="s">
        <v>1180</v>
      </c>
      <c r="C166" s="280" t="n">
        <v>0</v>
      </c>
      <c r="D166" s="280" t="n">
        <v>1</v>
      </c>
      <c r="E166" s="280" t="n">
        <v>0</v>
      </c>
      <c r="F166" s="280" t="n">
        <v>0</v>
      </c>
      <c r="G166" s="280" t="n">
        <v>0</v>
      </c>
      <c r="H166" s="280" t="n">
        <v>0</v>
      </c>
      <c r="I166" s="280" t="n">
        <v>0</v>
      </c>
      <c r="J166" s="280" t="n">
        <v>1</v>
      </c>
      <c r="K166" s="280"/>
      <c r="L166" s="280" t="s">
        <v>587</v>
      </c>
      <c r="M166" s="280" t="s">
        <v>522</v>
      </c>
      <c r="N166" s="280"/>
      <c r="O166" s="280"/>
      <c r="P166" s="280" t="s">
        <v>1181</v>
      </c>
      <c r="Q166" s="280" t="s">
        <v>1182</v>
      </c>
      <c r="R166" s="280"/>
      <c r="S166" s="280" t="s">
        <v>1183</v>
      </c>
      <c r="T166" s="280" t="s">
        <v>1184</v>
      </c>
      <c r="U166" s="280" t="s">
        <v>31</v>
      </c>
      <c r="V166" s="280" t="s">
        <v>522</v>
      </c>
      <c r="W166" s="280" t="s">
        <v>594</v>
      </c>
      <c r="X166" s="280" t="n">
        <f aca="false">IF($W166="Critical Importance",20,IF($W166="Minor Importance",5,10))</f>
        <v>10</v>
      </c>
    </row>
    <row r="167" customFormat="false" ht="196.5" hidden="false" customHeight="true" outlineLevel="0" collapsed="false">
      <c r="A167" s="280" t="s">
        <v>101</v>
      </c>
      <c r="B167" s="280" t="s">
        <v>1185</v>
      </c>
      <c r="C167" s="280" t="n">
        <v>0</v>
      </c>
      <c r="D167" s="280" t="n">
        <v>1</v>
      </c>
      <c r="E167" s="280" t="n">
        <v>0</v>
      </c>
      <c r="F167" s="280" t="n">
        <v>0</v>
      </c>
      <c r="G167" s="280" t="n">
        <v>0</v>
      </c>
      <c r="H167" s="280" t="n">
        <v>0</v>
      </c>
      <c r="I167" s="280" t="n">
        <v>0</v>
      </c>
      <c r="J167" s="280" t="n">
        <v>0</v>
      </c>
      <c r="K167" s="280"/>
      <c r="L167" s="280" t="s">
        <v>587</v>
      </c>
      <c r="M167" s="280" t="s">
        <v>522</v>
      </c>
      <c r="N167" s="280"/>
      <c r="O167" s="280"/>
      <c r="P167" s="280" t="s">
        <v>1186</v>
      </c>
      <c r="Q167" s="280" t="s">
        <v>1187</v>
      </c>
      <c r="R167" s="280"/>
      <c r="S167" s="280" t="s">
        <v>1188</v>
      </c>
      <c r="T167" s="280" t="s">
        <v>1189</v>
      </c>
      <c r="U167" s="280" t="s">
        <v>31</v>
      </c>
      <c r="V167" s="280" t="s">
        <v>522</v>
      </c>
      <c r="W167" s="280" t="s">
        <v>594</v>
      </c>
      <c r="X167" s="280" t="n">
        <f aca="false">IF($W167="Critical Importance",20,IF($W167="Minor Importance",5,10))</f>
        <v>10</v>
      </c>
    </row>
    <row r="168" customFormat="false" ht="141" hidden="false" customHeight="false" outlineLevel="0" collapsed="false">
      <c r="A168" s="280" t="s">
        <v>102</v>
      </c>
      <c r="B168" s="280" t="s">
        <v>1190</v>
      </c>
      <c r="C168" s="280" t="n">
        <v>0</v>
      </c>
      <c r="D168" s="280" t="n">
        <v>1</v>
      </c>
      <c r="E168" s="280" t="n">
        <v>0</v>
      </c>
      <c r="F168" s="280" t="n">
        <v>0</v>
      </c>
      <c r="G168" s="280" t="n">
        <v>0</v>
      </c>
      <c r="H168" s="280" t="n">
        <v>0</v>
      </c>
      <c r="I168" s="280" t="n">
        <v>0</v>
      </c>
      <c r="J168" s="280" t="n">
        <v>0</v>
      </c>
      <c r="K168" s="280"/>
      <c r="L168" s="280" t="s">
        <v>587</v>
      </c>
      <c r="M168" s="280" t="s">
        <v>522</v>
      </c>
      <c r="N168" s="280"/>
      <c r="O168" s="280"/>
      <c r="P168" s="280" t="s">
        <v>1191</v>
      </c>
      <c r="Q168" s="280" t="s">
        <v>1192</v>
      </c>
      <c r="R168" s="280"/>
      <c r="S168" s="280" t="s">
        <v>1193</v>
      </c>
      <c r="T168" s="280" t="s">
        <v>1194</v>
      </c>
      <c r="U168" s="280" t="s">
        <v>31</v>
      </c>
      <c r="V168" s="280" t="s">
        <v>522</v>
      </c>
      <c r="W168" s="280" t="s">
        <v>594</v>
      </c>
      <c r="X168" s="280" t="n">
        <f aca="false">IF($W168="Critical Importance",20,IF($W168="Minor Importance",5,10))</f>
        <v>10</v>
      </c>
    </row>
    <row r="169" customFormat="false" ht="508.95" hidden="false" customHeight="false" outlineLevel="0" collapsed="false">
      <c r="A169" s="280" t="s">
        <v>104</v>
      </c>
      <c r="B169" s="280" t="s">
        <v>1195</v>
      </c>
      <c r="C169" s="280" t="n">
        <v>0</v>
      </c>
      <c r="D169" s="280" t="n">
        <v>1</v>
      </c>
      <c r="E169" s="280" t="n">
        <v>0</v>
      </c>
      <c r="F169" s="280" t="n">
        <v>0</v>
      </c>
      <c r="G169" s="280" t="n">
        <v>0</v>
      </c>
      <c r="H169" s="280" t="n">
        <v>0</v>
      </c>
      <c r="I169" s="280" t="n">
        <v>0</v>
      </c>
      <c r="J169" s="280" t="n">
        <v>1</v>
      </c>
      <c r="K169" s="280"/>
      <c r="L169" s="280" t="s">
        <v>587</v>
      </c>
      <c r="M169" s="280" t="s">
        <v>522</v>
      </c>
      <c r="N169" s="280"/>
      <c r="O169" s="280"/>
      <c r="P169" s="280" t="s">
        <v>1196</v>
      </c>
      <c r="Q169" s="280" t="s">
        <v>1197</v>
      </c>
      <c r="R169" s="280"/>
      <c r="S169" s="280" t="s">
        <v>1198</v>
      </c>
      <c r="T169" s="280" t="s">
        <v>1199</v>
      </c>
      <c r="U169" s="280" t="s">
        <v>31</v>
      </c>
      <c r="V169" s="280" t="s">
        <v>522</v>
      </c>
      <c r="W169" s="280" t="s">
        <v>594</v>
      </c>
      <c r="X169" s="280" t="n">
        <f aca="false">IF($W169="Critical Importance",20,IF($W169="Minor Importance",5,10))</f>
        <v>10</v>
      </c>
    </row>
    <row r="170" customFormat="false" ht="191.75" hidden="false" customHeight="false" outlineLevel="0" collapsed="false">
      <c r="A170" s="280" t="s">
        <v>106</v>
      </c>
      <c r="B170" s="280" t="s">
        <v>1200</v>
      </c>
      <c r="C170" s="280" t="n">
        <v>0</v>
      </c>
      <c r="D170" s="280" t="n">
        <v>1</v>
      </c>
      <c r="E170" s="280" t="n">
        <v>0</v>
      </c>
      <c r="F170" s="280" t="n">
        <v>0</v>
      </c>
      <c r="G170" s="280" t="n">
        <v>0</v>
      </c>
      <c r="H170" s="280" t="n">
        <v>0</v>
      </c>
      <c r="I170" s="280" t="n">
        <v>0</v>
      </c>
      <c r="J170" s="280" t="n">
        <v>1</v>
      </c>
      <c r="K170" s="280"/>
      <c r="L170" s="280" t="s">
        <v>587</v>
      </c>
      <c r="M170" s="280" t="s">
        <v>522</v>
      </c>
      <c r="N170" s="280"/>
      <c r="O170" s="280"/>
      <c r="P170" s="280" t="s">
        <v>1201</v>
      </c>
      <c r="Q170" s="280" t="s">
        <v>1202</v>
      </c>
      <c r="R170" s="280"/>
      <c r="S170" s="280" t="s">
        <v>776</v>
      </c>
      <c r="T170" s="280" t="s">
        <v>777</v>
      </c>
      <c r="U170" s="280" t="s">
        <v>31</v>
      </c>
      <c r="V170" s="280" t="s">
        <v>522</v>
      </c>
      <c r="W170" s="280" t="s">
        <v>547</v>
      </c>
      <c r="X170" s="280" t="n">
        <f aca="false">IF($W170="Critical Importance",20,IF($W170="Minor Importance",5,10))</f>
        <v>5</v>
      </c>
    </row>
    <row r="171" customFormat="false" ht="128.35" hidden="false" customHeight="false" outlineLevel="0" collapsed="false">
      <c r="A171" s="280" t="s">
        <v>108</v>
      </c>
      <c r="B171" s="280" t="s">
        <v>1203</v>
      </c>
      <c r="C171" s="280" t="n">
        <v>0</v>
      </c>
      <c r="D171" s="280" t="n">
        <v>1</v>
      </c>
      <c r="E171" s="280" t="n">
        <v>0</v>
      </c>
      <c r="F171" s="280" t="n">
        <v>0</v>
      </c>
      <c r="G171" s="280" t="n">
        <v>0</v>
      </c>
      <c r="H171" s="280" t="n">
        <v>0</v>
      </c>
      <c r="I171" s="280" t="n">
        <v>0</v>
      </c>
      <c r="J171" s="280" t="n">
        <v>0</v>
      </c>
      <c r="K171" s="280"/>
      <c r="L171" s="280" t="s">
        <v>587</v>
      </c>
      <c r="M171" s="280" t="s">
        <v>522</v>
      </c>
      <c r="N171" s="280"/>
      <c r="O171" s="280"/>
      <c r="P171" s="280" t="s">
        <v>1204</v>
      </c>
      <c r="Q171" s="280" t="s">
        <v>1205</v>
      </c>
      <c r="R171" s="280"/>
      <c r="S171" s="280" t="s">
        <v>1177</v>
      </c>
      <c r="T171" s="280" t="s">
        <v>1178</v>
      </c>
      <c r="U171" s="280" t="s">
        <v>31</v>
      </c>
      <c r="V171" s="280" t="s">
        <v>522</v>
      </c>
      <c r="W171" s="280" t="s">
        <v>547</v>
      </c>
      <c r="X171" s="280" t="n">
        <f aca="false">IF($W171="Critical Importance",20,IF($W171="Minor Importance",5,10))</f>
        <v>5</v>
      </c>
    </row>
    <row r="172" customFormat="false" ht="240" hidden="false" customHeight="true" outlineLevel="0" collapsed="false">
      <c r="A172" s="280" t="s">
        <v>109</v>
      </c>
      <c r="B172" s="280" t="s">
        <v>1206</v>
      </c>
      <c r="C172" s="280" t="n">
        <v>0</v>
      </c>
      <c r="D172" s="280" t="n">
        <v>1</v>
      </c>
      <c r="E172" s="280" t="n">
        <v>0</v>
      </c>
      <c r="F172" s="280" t="n">
        <v>0</v>
      </c>
      <c r="G172" s="280" t="n">
        <v>0</v>
      </c>
      <c r="H172" s="280" t="n">
        <v>0</v>
      </c>
      <c r="I172" s="280" t="n">
        <v>0</v>
      </c>
      <c r="J172" s="280" t="n">
        <v>1</v>
      </c>
      <c r="K172" s="280"/>
      <c r="L172" s="280" t="s">
        <v>587</v>
      </c>
      <c r="M172" s="280" t="s">
        <v>522</v>
      </c>
      <c r="N172" s="280"/>
      <c r="O172" s="280"/>
      <c r="P172" s="280" t="s">
        <v>1207</v>
      </c>
      <c r="Q172" s="280" t="s">
        <v>1208</v>
      </c>
      <c r="R172" s="280"/>
      <c r="S172" s="280" t="s">
        <v>1209</v>
      </c>
      <c r="T172" s="280" t="s">
        <v>1210</v>
      </c>
      <c r="U172" s="280" t="s">
        <v>31</v>
      </c>
      <c r="V172" s="280" t="s">
        <v>522</v>
      </c>
      <c r="W172" s="280" t="s">
        <v>547</v>
      </c>
      <c r="X172" s="280" t="n">
        <f aca="false">IF($W172="Critical Importance",20,IF($W172="Minor Importance",5,10))</f>
        <v>5</v>
      </c>
    </row>
    <row r="173" customFormat="false" ht="243" hidden="false" customHeight="true" outlineLevel="0" collapsed="false">
      <c r="A173" s="280" t="s">
        <v>110</v>
      </c>
      <c r="B173" s="280" t="s">
        <v>1211</v>
      </c>
      <c r="C173" s="280" t="n">
        <v>0</v>
      </c>
      <c r="D173" s="280" t="n">
        <v>1</v>
      </c>
      <c r="E173" s="280" t="n">
        <v>0</v>
      </c>
      <c r="F173" s="280" t="n">
        <v>0</v>
      </c>
      <c r="G173" s="280" t="n">
        <v>0</v>
      </c>
      <c r="H173" s="280" t="n">
        <v>0</v>
      </c>
      <c r="I173" s="280" t="n">
        <v>0</v>
      </c>
      <c r="J173" s="280" t="n">
        <v>1</v>
      </c>
      <c r="K173" s="280"/>
      <c r="L173" s="280" t="s">
        <v>587</v>
      </c>
      <c r="M173" s="280" t="s">
        <v>522</v>
      </c>
      <c r="N173" s="280"/>
      <c r="O173" s="280"/>
      <c r="P173" s="280" t="s">
        <v>1212</v>
      </c>
      <c r="Q173" s="280" t="s">
        <v>1213</v>
      </c>
      <c r="R173" s="280"/>
      <c r="S173" s="280" t="s">
        <v>1209</v>
      </c>
      <c r="T173" s="280" t="s">
        <v>1210</v>
      </c>
      <c r="U173" s="280" t="s">
        <v>31</v>
      </c>
      <c r="V173" s="280" t="s">
        <v>522</v>
      </c>
      <c r="W173" s="280" t="s">
        <v>547</v>
      </c>
      <c r="X173" s="280" t="n">
        <f aca="false">IF($W173="Critical Importance",20,IF($W173="Minor Importance",5,10))</f>
        <v>5</v>
      </c>
    </row>
    <row r="174" customFormat="false" ht="179.1" hidden="false" customHeight="false" outlineLevel="0" collapsed="false">
      <c r="A174" s="280" t="s">
        <v>112</v>
      </c>
      <c r="B174" s="280" t="s">
        <v>1214</v>
      </c>
      <c r="C174" s="280" t="n">
        <v>0</v>
      </c>
      <c r="D174" s="280" t="n">
        <v>1</v>
      </c>
      <c r="E174" s="280" t="n">
        <v>0</v>
      </c>
      <c r="F174" s="280" t="n">
        <v>0</v>
      </c>
      <c r="G174" s="280" t="n">
        <v>0</v>
      </c>
      <c r="H174" s="280" t="n">
        <v>0</v>
      </c>
      <c r="I174" s="280" t="n">
        <v>0</v>
      </c>
      <c r="J174" s="280" t="n">
        <v>0</v>
      </c>
      <c r="K174" s="280"/>
      <c r="L174" s="280" t="s">
        <v>587</v>
      </c>
      <c r="M174" s="280" t="s">
        <v>522</v>
      </c>
      <c r="N174" s="280"/>
      <c r="O174" s="280"/>
      <c r="P174" s="280" t="s">
        <v>1215</v>
      </c>
      <c r="Q174" s="280" t="s">
        <v>1216</v>
      </c>
      <c r="R174" s="280"/>
      <c r="S174" s="280" t="s">
        <v>1217</v>
      </c>
      <c r="T174" s="280" t="s">
        <v>1218</v>
      </c>
      <c r="U174" s="280" t="s">
        <v>31</v>
      </c>
      <c r="V174" s="280" t="s">
        <v>522</v>
      </c>
      <c r="W174" s="280" t="s">
        <v>547</v>
      </c>
      <c r="X174" s="280" t="n">
        <f aca="false">IF($W174="Critical Importance",20,IF($W174="Minor Importance",5,10))</f>
        <v>5</v>
      </c>
    </row>
    <row r="175" customFormat="false" ht="206.25" hidden="false" customHeight="true" outlineLevel="0" collapsed="false">
      <c r="A175" s="280" t="s">
        <v>113</v>
      </c>
      <c r="B175" s="280" t="s">
        <v>1219</v>
      </c>
      <c r="C175" s="280" t="n">
        <v>0</v>
      </c>
      <c r="D175" s="280" t="n">
        <v>1</v>
      </c>
      <c r="E175" s="280" t="n">
        <v>0</v>
      </c>
      <c r="F175" s="280" t="n">
        <v>0</v>
      </c>
      <c r="G175" s="280" t="n">
        <v>0</v>
      </c>
      <c r="H175" s="280" t="n">
        <v>0</v>
      </c>
      <c r="I175" s="280" t="n">
        <v>0</v>
      </c>
      <c r="J175" s="280" t="n">
        <v>1</v>
      </c>
      <c r="K175" s="280"/>
      <c r="L175" s="280" t="s">
        <v>587</v>
      </c>
      <c r="M175" s="280" t="s">
        <v>522</v>
      </c>
      <c r="N175" s="280"/>
      <c r="O175" s="280"/>
      <c r="P175" s="280" t="s">
        <v>1220</v>
      </c>
      <c r="Q175" s="280" t="s">
        <v>1221</v>
      </c>
      <c r="R175" s="280"/>
      <c r="S175" s="280" t="s">
        <v>1222</v>
      </c>
      <c r="T175" s="280" t="s">
        <v>1223</v>
      </c>
      <c r="U175" s="280" t="s">
        <v>31</v>
      </c>
      <c r="V175" s="280" t="s">
        <v>522</v>
      </c>
      <c r="W175" s="280" t="s">
        <v>547</v>
      </c>
      <c r="X175" s="280" t="n">
        <f aca="false">IF($W175="Critical Importance",20,IF($W175="Minor Importance",5,10))</f>
        <v>5</v>
      </c>
    </row>
    <row r="176" customFormat="false" ht="127.5" hidden="false" customHeight="true" outlineLevel="0" collapsed="false">
      <c r="A176" s="280" t="s">
        <v>114</v>
      </c>
      <c r="B176" s="280" t="s">
        <v>1224</v>
      </c>
      <c r="C176" s="280" t="n">
        <v>0</v>
      </c>
      <c r="D176" s="280" t="n">
        <v>1</v>
      </c>
      <c r="E176" s="280" t="n">
        <v>0</v>
      </c>
      <c r="F176" s="280" t="n">
        <v>0</v>
      </c>
      <c r="G176" s="280" t="n">
        <v>0</v>
      </c>
      <c r="H176" s="280" t="n">
        <v>0</v>
      </c>
      <c r="I176" s="280" t="n">
        <v>0</v>
      </c>
      <c r="J176" s="280" t="n">
        <v>1</v>
      </c>
      <c r="K176" s="280"/>
      <c r="L176" s="280" t="s">
        <v>587</v>
      </c>
      <c r="M176" s="280" t="s">
        <v>522</v>
      </c>
      <c r="N176" s="280"/>
      <c r="O176" s="280"/>
      <c r="P176" s="280" t="s">
        <v>1225</v>
      </c>
      <c r="Q176" s="280" t="s">
        <v>1226</v>
      </c>
      <c r="R176" s="280" t="s">
        <v>712</v>
      </c>
      <c r="S176" s="280" t="s">
        <v>1227</v>
      </c>
      <c r="T176" s="280" t="s">
        <v>1228</v>
      </c>
      <c r="U176" s="280" t="s">
        <v>31</v>
      </c>
      <c r="V176" s="280" t="s">
        <v>522</v>
      </c>
      <c r="W176" s="280" t="s">
        <v>547</v>
      </c>
      <c r="X176" s="280" t="n">
        <f aca="false">IF($W176="Critical Importance",20,IF($W176="Minor Importance",5,10))</f>
        <v>5</v>
      </c>
    </row>
    <row r="177" customFormat="false" ht="293.25" hidden="false" customHeight="false" outlineLevel="0" collapsed="false">
      <c r="A177" s="280" t="s">
        <v>199</v>
      </c>
      <c r="B177" s="280" t="s">
        <v>1229</v>
      </c>
      <c r="C177" s="280" t="n">
        <v>0</v>
      </c>
      <c r="D177" s="280" t="n">
        <v>0</v>
      </c>
      <c r="E177" s="280" t="n">
        <v>0</v>
      </c>
      <c r="F177" s="280" t="n">
        <v>1</v>
      </c>
      <c r="G177" s="280" t="n">
        <v>0</v>
      </c>
      <c r="H177" s="280" t="n">
        <v>0</v>
      </c>
      <c r="I177" s="280" t="n">
        <v>0</v>
      </c>
      <c r="J177" s="280" t="n">
        <v>1</v>
      </c>
      <c r="K177" s="280"/>
      <c r="L177" s="280" t="s">
        <v>720</v>
      </c>
      <c r="M177" s="280" t="s">
        <v>522</v>
      </c>
      <c r="N177" s="280" t="s">
        <v>721</v>
      </c>
      <c r="O177" s="280"/>
      <c r="P177" s="280" t="s">
        <v>1230</v>
      </c>
      <c r="Q177" s="280" t="s">
        <v>1231</v>
      </c>
      <c r="R177" s="280"/>
      <c r="S177" s="280" t="s">
        <v>1232</v>
      </c>
      <c r="T177" s="280" t="s">
        <v>1233</v>
      </c>
      <c r="U177" s="280" t="s">
        <v>31</v>
      </c>
      <c r="V177" s="280" t="s">
        <v>522</v>
      </c>
      <c r="W177" s="280" t="s">
        <v>594</v>
      </c>
      <c r="X177" s="280" t="n">
        <f aca="false">IF($W177="Critical Importance",20,IF($W177="Minor Importance",5,10))</f>
        <v>10</v>
      </c>
    </row>
    <row r="178" customFormat="false" ht="221.25" hidden="false" customHeight="true" outlineLevel="0" collapsed="false">
      <c r="A178" s="280" t="s">
        <v>200</v>
      </c>
      <c r="B178" s="280" t="s">
        <v>1234</v>
      </c>
      <c r="C178" s="280" t="n">
        <v>0</v>
      </c>
      <c r="D178" s="280" t="n">
        <v>0</v>
      </c>
      <c r="E178" s="280" t="n">
        <v>0</v>
      </c>
      <c r="F178" s="280" t="n">
        <v>1</v>
      </c>
      <c r="G178" s="280" t="n">
        <v>0</v>
      </c>
      <c r="H178" s="280" t="n">
        <v>0</v>
      </c>
      <c r="I178" s="280" t="n">
        <v>0</v>
      </c>
      <c r="J178" s="280" t="n">
        <v>1</v>
      </c>
      <c r="K178" s="280"/>
      <c r="L178" s="280" t="s">
        <v>720</v>
      </c>
      <c r="M178" s="280" t="s">
        <v>522</v>
      </c>
      <c r="N178" s="280" t="s">
        <v>721</v>
      </c>
      <c r="O178" s="280"/>
      <c r="P178" s="280" t="s">
        <v>1235</v>
      </c>
      <c r="Q178" s="280" t="s">
        <v>1236</v>
      </c>
      <c r="R178" s="280"/>
      <c r="S178" s="280" t="s">
        <v>1237</v>
      </c>
      <c r="T178" s="280" t="s">
        <v>1233</v>
      </c>
      <c r="U178" s="280" t="s">
        <v>31</v>
      </c>
      <c r="V178" s="280" t="s">
        <v>522</v>
      </c>
      <c r="W178" s="280" t="s">
        <v>547</v>
      </c>
      <c r="X178" s="280" t="n">
        <f aca="false">IF($W178="Critical Importance",20,IF($W178="Minor Importance",5,10))</f>
        <v>5</v>
      </c>
    </row>
    <row r="179" customFormat="false" ht="179.1" hidden="false" customHeight="false" outlineLevel="0" collapsed="false">
      <c r="A179" s="280" t="s">
        <v>201</v>
      </c>
      <c r="B179" s="280" t="s">
        <v>1238</v>
      </c>
      <c r="C179" s="280" t="n">
        <v>0</v>
      </c>
      <c r="D179" s="280" t="n">
        <v>0</v>
      </c>
      <c r="E179" s="280" t="n">
        <v>0</v>
      </c>
      <c r="F179" s="280" t="n">
        <v>1</v>
      </c>
      <c r="G179" s="280" t="n">
        <v>0</v>
      </c>
      <c r="H179" s="280" t="n">
        <v>0</v>
      </c>
      <c r="I179" s="280" t="n">
        <v>0</v>
      </c>
      <c r="J179" s="280" t="n">
        <v>1</v>
      </c>
      <c r="K179" s="280"/>
      <c r="L179" s="280" t="s">
        <v>720</v>
      </c>
      <c r="M179" s="280" t="s">
        <v>522</v>
      </c>
      <c r="N179" s="280" t="s">
        <v>721</v>
      </c>
      <c r="O179" s="280"/>
      <c r="P179" s="280" t="s">
        <v>1239</v>
      </c>
      <c r="Q179" s="280" t="s">
        <v>1240</v>
      </c>
      <c r="R179" s="280"/>
      <c r="S179" s="280" t="s">
        <v>1241</v>
      </c>
      <c r="T179" s="280" t="s">
        <v>1242</v>
      </c>
      <c r="U179" s="280" t="s">
        <v>31</v>
      </c>
      <c r="V179" s="280" t="s">
        <v>522</v>
      </c>
      <c r="W179" s="280" t="s">
        <v>547</v>
      </c>
      <c r="X179" s="280" t="n">
        <f aca="false">IF($W179="Critical Importance",20,IF($W179="Minor Importance",5,10))</f>
        <v>5</v>
      </c>
    </row>
    <row r="180" customFormat="false" ht="255.2" hidden="false" customHeight="false" outlineLevel="0" collapsed="false">
      <c r="A180" s="280" t="s">
        <v>202</v>
      </c>
      <c r="B180" s="280" t="s">
        <v>1243</v>
      </c>
      <c r="C180" s="280" t="n">
        <v>0</v>
      </c>
      <c r="D180" s="280" t="n">
        <v>0</v>
      </c>
      <c r="E180" s="280" t="n">
        <v>0</v>
      </c>
      <c r="F180" s="280" t="n">
        <v>1</v>
      </c>
      <c r="G180" s="280" t="n">
        <v>0</v>
      </c>
      <c r="H180" s="280" t="n">
        <v>0</v>
      </c>
      <c r="I180" s="280" t="n">
        <v>0</v>
      </c>
      <c r="J180" s="280" t="n">
        <v>1</v>
      </c>
      <c r="K180" s="280"/>
      <c r="L180" s="280" t="s">
        <v>720</v>
      </c>
      <c r="M180" s="280"/>
      <c r="N180" s="280" t="s">
        <v>721</v>
      </c>
      <c r="O180" s="280"/>
      <c r="P180" s="280" t="s">
        <v>1244</v>
      </c>
      <c r="Q180" s="280" t="s">
        <v>1245</v>
      </c>
      <c r="R180" s="280"/>
      <c r="S180" s="280" t="s">
        <v>1246</v>
      </c>
      <c r="T180" s="280" t="s">
        <v>1199</v>
      </c>
      <c r="U180" s="280" t="s">
        <v>31</v>
      </c>
      <c r="V180" s="280"/>
      <c r="W180" s="280" t="s">
        <v>547</v>
      </c>
      <c r="X180" s="280" t="n">
        <f aca="false">IF($W180="Critical Importance",20,IF($W180="Minor Importance",5,10))</f>
        <v>5</v>
      </c>
    </row>
    <row r="181" customFormat="false" ht="224.25" hidden="false" customHeight="true" outlineLevel="0" collapsed="false">
      <c r="A181" s="280" t="s">
        <v>203</v>
      </c>
      <c r="B181" s="280" t="s">
        <v>1247</v>
      </c>
      <c r="C181" s="280" t="n">
        <v>0</v>
      </c>
      <c r="D181" s="280" t="n">
        <v>0</v>
      </c>
      <c r="E181" s="280" t="n">
        <v>0</v>
      </c>
      <c r="F181" s="280" t="n">
        <v>1</v>
      </c>
      <c r="G181" s="280" t="n">
        <v>0</v>
      </c>
      <c r="H181" s="280" t="n">
        <v>0</v>
      </c>
      <c r="I181" s="280" t="n">
        <v>0</v>
      </c>
      <c r="J181" s="280" t="n">
        <v>0</v>
      </c>
      <c r="K181" s="280"/>
      <c r="L181" s="280" t="s">
        <v>720</v>
      </c>
      <c r="M181" s="280" t="s">
        <v>522</v>
      </c>
      <c r="N181" s="280" t="s">
        <v>721</v>
      </c>
      <c r="O181" s="280"/>
      <c r="P181" s="280" t="s">
        <v>1248</v>
      </c>
      <c r="Q181" s="280" t="s">
        <v>1249</v>
      </c>
      <c r="R181" s="280"/>
      <c r="S181" s="280" t="s">
        <v>1250</v>
      </c>
      <c r="T181" s="280" t="s">
        <v>1251</v>
      </c>
      <c r="U181" s="280" t="s">
        <v>31</v>
      </c>
      <c r="V181" s="280" t="s">
        <v>522</v>
      </c>
      <c r="W181" s="280" t="s">
        <v>538</v>
      </c>
      <c r="X181" s="280" t="n">
        <f aca="false">IF($W181="Critical Importance",20,IF($W181="Minor Importance",5,10))</f>
        <v>20</v>
      </c>
    </row>
    <row r="182" customFormat="false" ht="141" hidden="false" customHeight="false" outlineLevel="0" collapsed="false">
      <c r="A182" s="280" t="s">
        <v>204</v>
      </c>
      <c r="B182" s="280" t="s">
        <v>1252</v>
      </c>
      <c r="C182" s="280" t="n">
        <v>0</v>
      </c>
      <c r="D182" s="280" t="n">
        <v>0</v>
      </c>
      <c r="E182" s="280" t="n">
        <v>0</v>
      </c>
      <c r="F182" s="280" t="n">
        <v>1</v>
      </c>
      <c r="G182" s="280" t="n">
        <v>0</v>
      </c>
      <c r="H182" s="280" t="n">
        <v>0</v>
      </c>
      <c r="I182" s="280" t="n">
        <v>0</v>
      </c>
      <c r="J182" s="280" t="n">
        <v>1</v>
      </c>
      <c r="K182" s="280"/>
      <c r="L182" s="280" t="s">
        <v>720</v>
      </c>
      <c r="M182" s="280" t="s">
        <v>522</v>
      </c>
      <c r="N182" s="280" t="s">
        <v>721</v>
      </c>
      <c r="O182" s="280"/>
      <c r="P182" s="280" t="s">
        <v>1253</v>
      </c>
      <c r="Q182" s="280" t="s">
        <v>1254</v>
      </c>
      <c r="R182" s="280"/>
      <c r="S182" s="280" t="s">
        <v>1255</v>
      </c>
      <c r="T182" s="280" t="s">
        <v>1256</v>
      </c>
      <c r="U182" s="280" t="s">
        <v>31</v>
      </c>
      <c r="V182" s="280" t="s">
        <v>522</v>
      </c>
      <c r="W182" s="280" t="s">
        <v>538</v>
      </c>
      <c r="X182" s="280" t="n">
        <f aca="false">IF($W182="Critical Importance",20,IF($W182="Minor Importance",5,10))</f>
        <v>20</v>
      </c>
    </row>
    <row r="183" customFormat="false" ht="179.1" hidden="false" customHeight="false" outlineLevel="0" collapsed="false">
      <c r="A183" s="280" t="s">
        <v>205</v>
      </c>
      <c r="B183" s="280" t="s">
        <v>1257</v>
      </c>
      <c r="C183" s="280" t="n">
        <v>0</v>
      </c>
      <c r="D183" s="280" t="n">
        <v>0</v>
      </c>
      <c r="E183" s="280" t="n">
        <v>0</v>
      </c>
      <c r="F183" s="280" t="n">
        <v>1</v>
      </c>
      <c r="G183" s="280" t="n">
        <v>0</v>
      </c>
      <c r="H183" s="280" t="n">
        <v>0</v>
      </c>
      <c r="I183" s="280" t="n">
        <v>0</v>
      </c>
      <c r="J183" s="280" t="n">
        <v>1</v>
      </c>
      <c r="K183" s="280"/>
      <c r="L183" s="280" t="s">
        <v>720</v>
      </c>
      <c r="M183" s="280" t="s">
        <v>522</v>
      </c>
      <c r="N183" s="280" t="s">
        <v>721</v>
      </c>
      <c r="O183" s="280"/>
      <c r="P183" s="280" t="s">
        <v>1258</v>
      </c>
      <c r="Q183" s="280" t="s">
        <v>1259</v>
      </c>
      <c r="R183" s="280"/>
      <c r="S183" s="280" t="s">
        <v>1260</v>
      </c>
      <c r="T183" s="280" t="s">
        <v>1261</v>
      </c>
      <c r="U183" s="280" t="s">
        <v>31</v>
      </c>
      <c r="V183" s="280" t="s">
        <v>522</v>
      </c>
      <c r="W183" s="280" t="s">
        <v>538</v>
      </c>
      <c r="X183" s="280" t="n">
        <f aca="false">IF($W183="Critical Importance",20,IF($W183="Minor Importance",5,10))</f>
        <v>20</v>
      </c>
    </row>
    <row r="184" customFormat="false" ht="289.5" hidden="false" customHeight="true" outlineLevel="0" collapsed="false">
      <c r="A184" s="280" t="s">
        <v>207</v>
      </c>
      <c r="B184" s="280" t="s">
        <v>1262</v>
      </c>
      <c r="C184" s="280" t="n">
        <v>0</v>
      </c>
      <c r="D184" s="280" t="n">
        <v>0</v>
      </c>
      <c r="E184" s="280" t="n">
        <v>0</v>
      </c>
      <c r="F184" s="280" t="n">
        <v>1</v>
      </c>
      <c r="G184" s="280" t="n">
        <v>0</v>
      </c>
      <c r="H184" s="280" t="n">
        <v>0</v>
      </c>
      <c r="I184" s="280" t="n">
        <v>0</v>
      </c>
      <c r="J184" s="280" t="n">
        <v>1</v>
      </c>
      <c r="K184" s="280"/>
      <c r="L184" s="280" t="s">
        <v>720</v>
      </c>
      <c r="M184" s="280" t="s">
        <v>522</v>
      </c>
      <c r="N184" s="280" t="s">
        <v>721</v>
      </c>
      <c r="O184" s="280"/>
      <c r="P184" s="280" t="s">
        <v>1263</v>
      </c>
      <c r="Q184" s="280" t="s">
        <v>1264</v>
      </c>
      <c r="R184" s="280"/>
      <c r="S184" s="280" t="s">
        <v>1265</v>
      </c>
      <c r="T184" s="280" t="s">
        <v>1266</v>
      </c>
      <c r="U184" s="280" t="s">
        <v>31</v>
      </c>
      <c r="V184" s="280" t="s">
        <v>522</v>
      </c>
      <c r="W184" s="280" t="s">
        <v>594</v>
      </c>
      <c r="X184" s="280" t="n">
        <f aca="false">IF($W184="Critical Importance",20,IF($W184="Minor Importance",5,10))</f>
        <v>10</v>
      </c>
    </row>
    <row r="185" customFormat="false" ht="296.25" hidden="false" customHeight="true" outlineLevel="0" collapsed="false">
      <c r="A185" s="280" t="s">
        <v>209</v>
      </c>
      <c r="B185" s="280" t="s">
        <v>1267</v>
      </c>
      <c r="C185" s="280" t="n">
        <v>0</v>
      </c>
      <c r="D185" s="280" t="n">
        <v>0</v>
      </c>
      <c r="E185" s="280" t="n">
        <v>0</v>
      </c>
      <c r="F185" s="280" t="n">
        <v>1</v>
      </c>
      <c r="G185" s="280" t="n">
        <v>0</v>
      </c>
      <c r="H185" s="280" t="n">
        <v>0</v>
      </c>
      <c r="I185" s="280" t="n">
        <v>0</v>
      </c>
      <c r="J185" s="280" t="n">
        <v>0</v>
      </c>
      <c r="K185" s="280"/>
      <c r="L185" s="280" t="s">
        <v>720</v>
      </c>
      <c r="M185" s="280" t="s">
        <v>522</v>
      </c>
      <c r="N185" s="280" t="s">
        <v>721</v>
      </c>
      <c r="O185" s="280" t="s">
        <v>1268</v>
      </c>
      <c r="P185" s="280" t="s">
        <v>1268</v>
      </c>
      <c r="Q185" s="280" t="s">
        <v>1268</v>
      </c>
      <c r="R185" s="280"/>
      <c r="S185" s="280" t="s">
        <v>1269</v>
      </c>
      <c r="T185" s="280" t="s">
        <v>1270</v>
      </c>
      <c r="U185" s="280" t="s">
        <v>31</v>
      </c>
      <c r="V185" s="280" t="s">
        <v>522</v>
      </c>
      <c r="W185" s="280" t="s">
        <v>594</v>
      </c>
      <c r="X185" s="280" t="n">
        <f aca="false">IF($W185="Critical Importance",20,IF($W185="Minor Importance",5,10))</f>
        <v>10</v>
      </c>
    </row>
    <row r="186" customFormat="false" ht="300" hidden="false" customHeight="true" outlineLevel="0" collapsed="false">
      <c r="A186" s="280" t="s">
        <v>211</v>
      </c>
      <c r="B186" s="280" t="s">
        <v>1271</v>
      </c>
      <c r="C186" s="280" t="n">
        <v>0</v>
      </c>
      <c r="D186" s="280" t="n">
        <v>0</v>
      </c>
      <c r="E186" s="280" t="n">
        <v>0</v>
      </c>
      <c r="F186" s="280" t="n">
        <v>1</v>
      </c>
      <c r="G186" s="280" t="n">
        <v>0</v>
      </c>
      <c r="H186" s="280" t="n">
        <v>0</v>
      </c>
      <c r="I186" s="280" t="n">
        <v>0</v>
      </c>
      <c r="J186" s="280" t="n">
        <v>1</v>
      </c>
      <c r="K186" s="280"/>
      <c r="L186" s="280" t="s">
        <v>720</v>
      </c>
      <c r="M186" s="280" t="s">
        <v>522</v>
      </c>
      <c r="N186" s="280" t="s">
        <v>721</v>
      </c>
      <c r="O186" s="280"/>
      <c r="P186" s="280" t="s">
        <v>1272</v>
      </c>
      <c r="Q186" s="280" t="s">
        <v>1273</v>
      </c>
      <c r="R186" s="280"/>
      <c r="S186" s="280" t="s">
        <v>1274</v>
      </c>
      <c r="T186" s="280" t="s">
        <v>1275</v>
      </c>
      <c r="U186" s="280" t="s">
        <v>31</v>
      </c>
      <c r="V186" s="280" t="s">
        <v>522</v>
      </c>
      <c r="W186" s="280" t="s">
        <v>547</v>
      </c>
      <c r="X186" s="280" t="n">
        <f aca="false">IF($W186="Critical Importance",20,IF($W186="Minor Importance",5,10))</f>
        <v>5</v>
      </c>
    </row>
    <row r="187" customFormat="false" ht="76.5" hidden="false" customHeight="true" outlineLevel="0" collapsed="false">
      <c r="A187" s="280" t="s">
        <v>254</v>
      </c>
      <c r="B187" s="280" t="s">
        <v>1276</v>
      </c>
      <c r="C187" s="280" t="n">
        <v>0</v>
      </c>
      <c r="D187" s="280" t="n">
        <v>0</v>
      </c>
      <c r="E187" s="280" t="n">
        <v>0</v>
      </c>
      <c r="F187" s="280" t="n">
        <v>0</v>
      </c>
      <c r="G187" s="280" t="n">
        <v>0</v>
      </c>
      <c r="H187" s="280" t="n">
        <v>1</v>
      </c>
      <c r="I187" s="280" t="n">
        <v>0</v>
      </c>
      <c r="J187" s="280" t="n">
        <v>1</v>
      </c>
      <c r="K187" s="280"/>
      <c r="L187" s="280" t="s">
        <v>1277</v>
      </c>
      <c r="M187" s="280" t="s">
        <v>522</v>
      </c>
      <c r="N187" s="280" t="s">
        <v>1278</v>
      </c>
      <c r="O187" s="280" t="s">
        <v>1279</v>
      </c>
      <c r="P187" s="280" t="s">
        <v>1279</v>
      </c>
      <c r="Q187" s="280" t="s">
        <v>1279</v>
      </c>
      <c r="R187" s="280"/>
      <c r="S187" s="280" t="s">
        <v>1280</v>
      </c>
      <c r="T187" s="280" t="s">
        <v>1281</v>
      </c>
      <c r="U187" s="280" t="s">
        <v>31</v>
      </c>
      <c r="V187" s="280" t="s">
        <v>522</v>
      </c>
      <c r="W187" s="280" t="s">
        <v>538</v>
      </c>
      <c r="X187" s="280" t="n">
        <f aca="false">IF($W187="Critical Importance",20,IF($W187="Minor Importance",5,10))</f>
        <v>20</v>
      </c>
    </row>
    <row r="188" customFormat="false" ht="76.5" hidden="false" customHeight="true" outlineLevel="0" collapsed="false">
      <c r="A188" s="280" t="s">
        <v>255</v>
      </c>
      <c r="B188" s="280" t="s">
        <v>1282</v>
      </c>
      <c r="C188" s="280" t="n">
        <v>0</v>
      </c>
      <c r="D188" s="280" t="n">
        <v>0</v>
      </c>
      <c r="E188" s="280" t="n">
        <v>0</v>
      </c>
      <c r="F188" s="280" t="n">
        <v>0</v>
      </c>
      <c r="G188" s="280" t="n">
        <v>0</v>
      </c>
      <c r="H188" s="280" t="n">
        <v>1</v>
      </c>
      <c r="I188" s="280" t="n">
        <v>0</v>
      </c>
      <c r="J188" s="280" t="n">
        <v>1</v>
      </c>
      <c r="K188" s="280"/>
      <c r="L188" s="280" t="s">
        <v>1277</v>
      </c>
      <c r="M188" s="280" t="s">
        <v>522</v>
      </c>
      <c r="N188" s="280" t="s">
        <v>1278</v>
      </c>
      <c r="O188" s="280" t="s">
        <v>1279</v>
      </c>
      <c r="P188" s="280" t="s">
        <v>1279</v>
      </c>
      <c r="Q188" s="280" t="s">
        <v>1279</v>
      </c>
      <c r="R188" s="280"/>
      <c r="S188" s="280" t="s">
        <v>1280</v>
      </c>
      <c r="T188" s="280" t="s">
        <v>1281</v>
      </c>
      <c r="U188" s="280" t="s">
        <v>31</v>
      </c>
      <c r="V188" s="280" t="s">
        <v>522</v>
      </c>
      <c r="W188" s="280" t="s">
        <v>538</v>
      </c>
      <c r="X188" s="280" t="n">
        <f aca="false">IF($W188="Critical Importance",20,IF($W188="Minor Importance",5,10))</f>
        <v>20</v>
      </c>
    </row>
    <row r="189" customFormat="false" ht="76.5" hidden="false" customHeight="true" outlineLevel="0" collapsed="false">
      <c r="A189" s="280" t="s">
        <v>256</v>
      </c>
      <c r="B189" s="280" t="s">
        <v>1283</v>
      </c>
      <c r="C189" s="280" t="n">
        <v>0</v>
      </c>
      <c r="D189" s="280" t="n">
        <v>0</v>
      </c>
      <c r="E189" s="280" t="n">
        <v>0</v>
      </c>
      <c r="F189" s="280" t="n">
        <v>0</v>
      </c>
      <c r="G189" s="280" t="n">
        <v>0</v>
      </c>
      <c r="H189" s="280" t="n">
        <v>1</v>
      </c>
      <c r="I189" s="280" t="n">
        <v>0</v>
      </c>
      <c r="J189" s="280" t="n">
        <v>1</v>
      </c>
      <c r="K189" s="280"/>
      <c r="L189" s="280" t="s">
        <v>1277</v>
      </c>
      <c r="M189" s="280" t="s">
        <v>522</v>
      </c>
      <c r="N189" s="280" t="s">
        <v>1278</v>
      </c>
      <c r="O189" s="280" t="s">
        <v>1279</v>
      </c>
      <c r="P189" s="280" t="s">
        <v>1279</v>
      </c>
      <c r="Q189" s="280" t="s">
        <v>1279</v>
      </c>
      <c r="R189" s="280"/>
      <c r="S189" s="280" t="s">
        <v>1280</v>
      </c>
      <c r="T189" s="280" t="s">
        <v>1281</v>
      </c>
      <c r="U189" s="280" t="s">
        <v>31</v>
      </c>
      <c r="V189" s="280" t="s">
        <v>522</v>
      </c>
      <c r="W189" s="280" t="s">
        <v>538</v>
      </c>
      <c r="X189" s="280" t="n">
        <f aca="false">IF($W189="Critical Importance",20,IF($W189="Minor Importance",5,10))</f>
        <v>20</v>
      </c>
    </row>
    <row r="190" customFormat="false" ht="76.5" hidden="false" customHeight="true" outlineLevel="0" collapsed="false">
      <c r="A190" s="280" t="s">
        <v>257</v>
      </c>
      <c r="B190" s="280" t="s">
        <v>1284</v>
      </c>
      <c r="C190" s="280" t="n">
        <v>0</v>
      </c>
      <c r="D190" s="280" t="n">
        <v>0</v>
      </c>
      <c r="E190" s="280" t="n">
        <v>0</v>
      </c>
      <c r="F190" s="280" t="n">
        <v>0</v>
      </c>
      <c r="G190" s="280" t="n">
        <v>0</v>
      </c>
      <c r="H190" s="280" t="n">
        <v>1</v>
      </c>
      <c r="I190" s="280" t="n">
        <v>0</v>
      </c>
      <c r="J190" s="280" t="n">
        <v>1</v>
      </c>
      <c r="K190" s="280"/>
      <c r="L190" s="280" t="s">
        <v>1277</v>
      </c>
      <c r="M190" s="280" t="s">
        <v>522</v>
      </c>
      <c r="N190" s="280" t="s">
        <v>1278</v>
      </c>
      <c r="O190" s="280" t="s">
        <v>1279</v>
      </c>
      <c r="P190" s="280" t="s">
        <v>1279</v>
      </c>
      <c r="Q190" s="280" t="s">
        <v>1279</v>
      </c>
      <c r="R190" s="280"/>
      <c r="S190" s="280" t="s">
        <v>1280</v>
      </c>
      <c r="T190" s="280" t="s">
        <v>1281</v>
      </c>
      <c r="U190" s="280" t="s">
        <v>31</v>
      </c>
      <c r="V190" s="280" t="s">
        <v>522</v>
      </c>
      <c r="W190" s="280" t="s">
        <v>538</v>
      </c>
      <c r="X190" s="280" t="n">
        <f aca="false">IF($W190="Critical Importance",20,IF($W190="Minor Importance",5,10))</f>
        <v>20</v>
      </c>
    </row>
    <row r="191" customFormat="false" ht="76.5" hidden="false" customHeight="true" outlineLevel="0" collapsed="false">
      <c r="A191" s="280" t="s">
        <v>258</v>
      </c>
      <c r="B191" s="280" t="s">
        <v>1285</v>
      </c>
      <c r="C191" s="280" t="n">
        <v>0</v>
      </c>
      <c r="D191" s="280" t="n">
        <v>0</v>
      </c>
      <c r="E191" s="280" t="n">
        <v>0</v>
      </c>
      <c r="F191" s="280" t="n">
        <v>0</v>
      </c>
      <c r="G191" s="280" t="n">
        <v>0</v>
      </c>
      <c r="H191" s="280" t="n">
        <v>1</v>
      </c>
      <c r="I191" s="280" t="n">
        <v>0</v>
      </c>
      <c r="J191" s="280" t="n">
        <v>1</v>
      </c>
      <c r="K191" s="280"/>
      <c r="L191" s="280" t="s">
        <v>1277</v>
      </c>
      <c r="M191" s="280" t="s">
        <v>522</v>
      </c>
      <c r="N191" s="280" t="s">
        <v>1278</v>
      </c>
      <c r="O191" s="280" t="s">
        <v>1279</v>
      </c>
      <c r="P191" s="280" t="s">
        <v>1279</v>
      </c>
      <c r="Q191" s="280" t="s">
        <v>1279</v>
      </c>
      <c r="R191" s="280"/>
      <c r="S191" s="280" t="s">
        <v>1280</v>
      </c>
      <c r="T191" s="280" t="s">
        <v>1281</v>
      </c>
      <c r="U191" s="280" t="s">
        <v>31</v>
      </c>
      <c r="V191" s="280" t="s">
        <v>522</v>
      </c>
      <c r="W191" s="280" t="s">
        <v>594</v>
      </c>
      <c r="X191" s="280" t="n">
        <f aca="false">IF($W191="Critical Importance",20,IF($W191="Minor Importance",5,10))</f>
        <v>10</v>
      </c>
    </row>
    <row r="192" customFormat="false" ht="76.5" hidden="false" customHeight="true" outlineLevel="0" collapsed="false">
      <c r="A192" s="280" t="s">
        <v>259</v>
      </c>
      <c r="B192" s="280" t="s">
        <v>1286</v>
      </c>
      <c r="C192" s="280" t="n">
        <v>0</v>
      </c>
      <c r="D192" s="280" t="n">
        <v>0</v>
      </c>
      <c r="E192" s="280" t="n">
        <v>0</v>
      </c>
      <c r="F192" s="280" t="n">
        <v>0</v>
      </c>
      <c r="G192" s="280" t="n">
        <v>0</v>
      </c>
      <c r="H192" s="280" t="n">
        <v>1</v>
      </c>
      <c r="I192" s="280" t="n">
        <v>0</v>
      </c>
      <c r="J192" s="280" t="n">
        <v>1</v>
      </c>
      <c r="K192" s="280"/>
      <c r="L192" s="280" t="s">
        <v>1277</v>
      </c>
      <c r="M192" s="280" t="s">
        <v>522</v>
      </c>
      <c r="N192" s="280" t="s">
        <v>1278</v>
      </c>
      <c r="O192" s="280" t="s">
        <v>1279</v>
      </c>
      <c r="P192" s="280" t="s">
        <v>1279</v>
      </c>
      <c r="Q192" s="280" t="s">
        <v>1279</v>
      </c>
      <c r="R192" s="280"/>
      <c r="S192" s="280" t="s">
        <v>1280</v>
      </c>
      <c r="T192" s="280" t="s">
        <v>1281</v>
      </c>
      <c r="U192" s="280" t="s">
        <v>31</v>
      </c>
      <c r="V192" s="280" t="s">
        <v>522</v>
      </c>
      <c r="W192" s="280" t="s">
        <v>594</v>
      </c>
      <c r="X192" s="280" t="n">
        <f aca="false">IF($W192="Critical Importance",20,IF($W192="Minor Importance",5,10))</f>
        <v>10</v>
      </c>
    </row>
    <row r="193" customFormat="false" ht="76.5" hidden="false" customHeight="true" outlineLevel="0" collapsed="false">
      <c r="A193" s="280" t="s">
        <v>260</v>
      </c>
      <c r="B193" s="280" t="s">
        <v>1287</v>
      </c>
      <c r="C193" s="280" t="n">
        <v>0</v>
      </c>
      <c r="D193" s="280" t="n">
        <v>0</v>
      </c>
      <c r="E193" s="280" t="n">
        <v>0</v>
      </c>
      <c r="F193" s="280" t="n">
        <v>0</v>
      </c>
      <c r="G193" s="280" t="n">
        <v>0</v>
      </c>
      <c r="H193" s="280" t="n">
        <v>1</v>
      </c>
      <c r="I193" s="280" t="n">
        <v>0</v>
      </c>
      <c r="J193" s="280" t="n">
        <v>1</v>
      </c>
      <c r="K193" s="280"/>
      <c r="L193" s="280" t="s">
        <v>1277</v>
      </c>
      <c r="M193" s="280" t="s">
        <v>522</v>
      </c>
      <c r="N193" s="280" t="s">
        <v>1278</v>
      </c>
      <c r="O193" s="280" t="s">
        <v>1279</v>
      </c>
      <c r="P193" s="280" t="s">
        <v>1279</v>
      </c>
      <c r="Q193" s="280" t="s">
        <v>1279</v>
      </c>
      <c r="R193" s="280"/>
      <c r="S193" s="280" t="s">
        <v>1280</v>
      </c>
      <c r="T193" s="280" t="s">
        <v>1281</v>
      </c>
      <c r="U193" s="280" t="s">
        <v>31</v>
      </c>
      <c r="V193" s="280" t="s">
        <v>522</v>
      </c>
      <c r="W193" s="280" t="s">
        <v>594</v>
      </c>
      <c r="X193" s="280" t="n">
        <f aca="false">IF($W193="Critical Importance",20,IF($W193="Minor Importance",5,10))</f>
        <v>10</v>
      </c>
    </row>
    <row r="194" customFormat="false" ht="76.5" hidden="false" customHeight="true" outlineLevel="0" collapsed="false">
      <c r="A194" s="280" t="s">
        <v>261</v>
      </c>
      <c r="B194" s="280" t="s">
        <v>1288</v>
      </c>
      <c r="C194" s="280" t="n">
        <v>0</v>
      </c>
      <c r="D194" s="280" t="n">
        <v>0</v>
      </c>
      <c r="E194" s="280" t="n">
        <v>0</v>
      </c>
      <c r="F194" s="280" t="n">
        <v>0</v>
      </c>
      <c r="G194" s="280" t="n">
        <v>0</v>
      </c>
      <c r="H194" s="280" t="n">
        <v>1</v>
      </c>
      <c r="I194" s="280" t="n">
        <v>0</v>
      </c>
      <c r="J194" s="280" t="n">
        <v>1</v>
      </c>
      <c r="K194" s="280"/>
      <c r="L194" s="280" t="s">
        <v>1277</v>
      </c>
      <c r="M194" s="280" t="s">
        <v>522</v>
      </c>
      <c r="N194" s="280" t="s">
        <v>1278</v>
      </c>
      <c r="O194" s="280" t="s">
        <v>1279</v>
      </c>
      <c r="P194" s="280" t="s">
        <v>1279</v>
      </c>
      <c r="Q194" s="280" t="s">
        <v>1279</v>
      </c>
      <c r="R194" s="280"/>
      <c r="S194" s="280" t="s">
        <v>1280</v>
      </c>
      <c r="T194" s="280" t="s">
        <v>1281</v>
      </c>
      <c r="U194" s="280" t="s">
        <v>31</v>
      </c>
      <c r="V194" s="280" t="s">
        <v>522</v>
      </c>
      <c r="W194" s="280" t="s">
        <v>594</v>
      </c>
      <c r="X194" s="280" t="n">
        <f aca="false">IF($W194="Critical Importance",20,IF($W194="Minor Importance",5,10))</f>
        <v>10</v>
      </c>
    </row>
    <row r="195" customFormat="false" ht="76.5" hidden="false" customHeight="true" outlineLevel="0" collapsed="false">
      <c r="A195" s="280" t="s">
        <v>262</v>
      </c>
      <c r="B195" s="280" t="s">
        <v>1289</v>
      </c>
      <c r="C195" s="280" t="n">
        <v>0</v>
      </c>
      <c r="D195" s="280" t="n">
        <v>0</v>
      </c>
      <c r="E195" s="280" t="n">
        <v>0</v>
      </c>
      <c r="F195" s="280" t="n">
        <v>0</v>
      </c>
      <c r="G195" s="280" t="n">
        <v>0</v>
      </c>
      <c r="H195" s="280" t="n">
        <v>1</v>
      </c>
      <c r="I195" s="280" t="n">
        <v>0</v>
      </c>
      <c r="J195" s="280" t="n">
        <v>1</v>
      </c>
      <c r="K195" s="280"/>
      <c r="L195" s="280" t="s">
        <v>1277</v>
      </c>
      <c r="M195" s="280" t="s">
        <v>522</v>
      </c>
      <c r="N195" s="280" t="s">
        <v>1278</v>
      </c>
      <c r="O195" s="280" t="s">
        <v>1279</v>
      </c>
      <c r="P195" s="280" t="s">
        <v>1279</v>
      </c>
      <c r="Q195" s="280" t="s">
        <v>1279</v>
      </c>
      <c r="R195" s="280"/>
      <c r="S195" s="280" t="s">
        <v>1280</v>
      </c>
      <c r="T195" s="280" t="s">
        <v>1281</v>
      </c>
      <c r="U195" s="280" t="s">
        <v>31</v>
      </c>
      <c r="V195" s="280" t="s">
        <v>522</v>
      </c>
      <c r="W195" s="280" t="s">
        <v>594</v>
      </c>
      <c r="X195" s="280" t="n">
        <f aca="false">IF($W195="Critical Importance",20,IF($W195="Minor Importance",5,10))</f>
        <v>10</v>
      </c>
    </row>
    <row r="196" customFormat="false" ht="76.5" hidden="false" customHeight="true" outlineLevel="0" collapsed="false">
      <c r="A196" s="280" t="s">
        <v>263</v>
      </c>
      <c r="B196" s="280" t="s">
        <v>1290</v>
      </c>
      <c r="C196" s="280" t="n">
        <v>0</v>
      </c>
      <c r="D196" s="280" t="n">
        <v>0</v>
      </c>
      <c r="E196" s="280" t="n">
        <v>0</v>
      </c>
      <c r="F196" s="280" t="n">
        <v>0</v>
      </c>
      <c r="G196" s="280" t="n">
        <v>0</v>
      </c>
      <c r="H196" s="280" t="n">
        <v>1</v>
      </c>
      <c r="I196" s="280" t="n">
        <v>0</v>
      </c>
      <c r="J196" s="280" t="n">
        <v>1</v>
      </c>
      <c r="K196" s="280"/>
      <c r="L196" s="280" t="s">
        <v>1277</v>
      </c>
      <c r="M196" s="280" t="s">
        <v>522</v>
      </c>
      <c r="N196" s="280" t="s">
        <v>1278</v>
      </c>
      <c r="O196" s="280" t="s">
        <v>1279</v>
      </c>
      <c r="P196" s="280" t="s">
        <v>1279</v>
      </c>
      <c r="Q196" s="280" t="s">
        <v>1279</v>
      </c>
      <c r="R196" s="280"/>
      <c r="S196" s="280" t="s">
        <v>1280</v>
      </c>
      <c r="T196" s="280" t="s">
        <v>1281</v>
      </c>
      <c r="U196" s="280" t="s">
        <v>31</v>
      </c>
      <c r="V196" s="280" t="s">
        <v>522</v>
      </c>
      <c r="W196" s="280" t="s">
        <v>594</v>
      </c>
      <c r="X196" s="280" t="n">
        <f aca="false">IF($W196="Critical Importance",20,IF($W196="Minor Importance",5,10))</f>
        <v>10</v>
      </c>
    </row>
    <row r="197" customFormat="false" ht="76.5" hidden="false" customHeight="true" outlineLevel="0" collapsed="false">
      <c r="A197" s="280" t="s">
        <v>264</v>
      </c>
      <c r="B197" s="280" t="s">
        <v>1291</v>
      </c>
      <c r="C197" s="280" t="n">
        <v>0</v>
      </c>
      <c r="D197" s="280" t="n">
        <v>0</v>
      </c>
      <c r="E197" s="280" t="n">
        <v>0</v>
      </c>
      <c r="F197" s="280" t="n">
        <v>0</v>
      </c>
      <c r="G197" s="280" t="n">
        <v>0</v>
      </c>
      <c r="H197" s="280" t="n">
        <v>1</v>
      </c>
      <c r="I197" s="280" t="n">
        <v>0</v>
      </c>
      <c r="J197" s="280" t="n">
        <v>1</v>
      </c>
      <c r="K197" s="280"/>
      <c r="L197" s="280" t="s">
        <v>1277</v>
      </c>
      <c r="M197" s="280" t="s">
        <v>522</v>
      </c>
      <c r="N197" s="280" t="s">
        <v>1278</v>
      </c>
      <c r="O197" s="280" t="s">
        <v>1279</v>
      </c>
      <c r="P197" s="280" t="s">
        <v>1279</v>
      </c>
      <c r="Q197" s="280" t="s">
        <v>1279</v>
      </c>
      <c r="R197" s="280"/>
      <c r="S197" s="280" t="s">
        <v>1280</v>
      </c>
      <c r="T197" s="280" t="s">
        <v>1281</v>
      </c>
      <c r="U197" s="280" t="s">
        <v>31</v>
      </c>
      <c r="V197" s="280" t="s">
        <v>522</v>
      </c>
      <c r="W197" s="280" t="s">
        <v>594</v>
      </c>
      <c r="X197" s="280" t="n">
        <f aca="false">IF($W197="Critical Importance",20,IF($W197="Minor Importance",5,10))</f>
        <v>10</v>
      </c>
    </row>
    <row r="198" customFormat="false" ht="76.5" hidden="false" customHeight="true" outlineLevel="0" collapsed="false">
      <c r="A198" s="280" t="s">
        <v>265</v>
      </c>
      <c r="B198" s="280" t="s">
        <v>1292</v>
      </c>
      <c r="C198" s="280" t="n">
        <v>0</v>
      </c>
      <c r="D198" s="280" t="n">
        <v>0</v>
      </c>
      <c r="E198" s="280" t="n">
        <v>0</v>
      </c>
      <c r="F198" s="280" t="n">
        <v>0</v>
      </c>
      <c r="G198" s="280" t="n">
        <v>0</v>
      </c>
      <c r="H198" s="280" t="n">
        <v>1</v>
      </c>
      <c r="I198" s="280" t="n">
        <v>0</v>
      </c>
      <c r="J198" s="280" t="n">
        <v>1</v>
      </c>
      <c r="K198" s="280"/>
      <c r="L198" s="280" t="s">
        <v>1277</v>
      </c>
      <c r="M198" s="280" t="s">
        <v>522</v>
      </c>
      <c r="N198" s="280" t="s">
        <v>1278</v>
      </c>
      <c r="O198" s="280" t="s">
        <v>1279</v>
      </c>
      <c r="P198" s="280" t="s">
        <v>1279</v>
      </c>
      <c r="Q198" s="280" t="s">
        <v>1279</v>
      </c>
      <c r="R198" s="280"/>
      <c r="S198" s="280" t="s">
        <v>1280</v>
      </c>
      <c r="T198" s="280" t="s">
        <v>1281</v>
      </c>
      <c r="U198" s="280" t="s">
        <v>31</v>
      </c>
      <c r="V198" s="280" t="s">
        <v>522</v>
      </c>
      <c r="W198" s="280" t="s">
        <v>594</v>
      </c>
      <c r="X198" s="280" t="n">
        <f aca="false">IF($W198="Critical Importance",20,IF($W198="Minor Importance",5,10))</f>
        <v>10</v>
      </c>
    </row>
    <row r="199" customFormat="false" ht="76.5" hidden="false" customHeight="true" outlineLevel="0" collapsed="false">
      <c r="A199" s="280" t="s">
        <v>266</v>
      </c>
      <c r="B199" s="280" t="s">
        <v>1293</v>
      </c>
      <c r="C199" s="280" t="n">
        <v>0</v>
      </c>
      <c r="D199" s="280" t="n">
        <v>0</v>
      </c>
      <c r="E199" s="280" t="n">
        <v>0</v>
      </c>
      <c r="F199" s="280" t="n">
        <v>0</v>
      </c>
      <c r="G199" s="280" t="n">
        <v>0</v>
      </c>
      <c r="H199" s="280" t="n">
        <v>1</v>
      </c>
      <c r="I199" s="280" t="n">
        <v>0</v>
      </c>
      <c r="J199" s="280" t="n">
        <v>1</v>
      </c>
      <c r="K199" s="280"/>
      <c r="L199" s="280" t="s">
        <v>1277</v>
      </c>
      <c r="M199" s="280" t="s">
        <v>522</v>
      </c>
      <c r="N199" s="280" t="s">
        <v>1278</v>
      </c>
      <c r="O199" s="280" t="s">
        <v>1279</v>
      </c>
      <c r="P199" s="280" t="s">
        <v>1279</v>
      </c>
      <c r="Q199" s="280" t="s">
        <v>1279</v>
      </c>
      <c r="R199" s="280"/>
      <c r="S199" s="280" t="s">
        <v>1280</v>
      </c>
      <c r="T199" s="280" t="s">
        <v>1281</v>
      </c>
      <c r="U199" s="280" t="s">
        <v>31</v>
      </c>
      <c r="V199" s="280" t="s">
        <v>522</v>
      </c>
      <c r="W199" s="280" t="s">
        <v>594</v>
      </c>
      <c r="X199" s="280" t="n">
        <f aca="false">IF($W199="Critical Importance",20,IF($W199="Minor Importance",5,10))</f>
        <v>10</v>
      </c>
    </row>
    <row r="200" customFormat="false" ht="76.5" hidden="false" customHeight="true" outlineLevel="0" collapsed="false">
      <c r="A200" s="280" t="s">
        <v>267</v>
      </c>
      <c r="B200" s="280" t="s">
        <v>1294</v>
      </c>
      <c r="C200" s="280" t="n">
        <v>0</v>
      </c>
      <c r="D200" s="280" t="n">
        <v>0</v>
      </c>
      <c r="E200" s="280" t="n">
        <v>0</v>
      </c>
      <c r="F200" s="280" t="n">
        <v>0</v>
      </c>
      <c r="G200" s="280" t="n">
        <v>0</v>
      </c>
      <c r="H200" s="280" t="n">
        <v>1</v>
      </c>
      <c r="I200" s="280" t="n">
        <v>0</v>
      </c>
      <c r="J200" s="280" t="n">
        <v>1</v>
      </c>
      <c r="K200" s="280"/>
      <c r="L200" s="280" t="s">
        <v>1277</v>
      </c>
      <c r="M200" s="280" t="s">
        <v>522</v>
      </c>
      <c r="N200" s="280" t="s">
        <v>1278</v>
      </c>
      <c r="O200" s="280" t="s">
        <v>1279</v>
      </c>
      <c r="P200" s="280" t="s">
        <v>1279</v>
      </c>
      <c r="Q200" s="280" t="s">
        <v>1279</v>
      </c>
      <c r="R200" s="280"/>
      <c r="S200" s="280" t="s">
        <v>1280</v>
      </c>
      <c r="T200" s="280" t="s">
        <v>1281</v>
      </c>
      <c r="U200" s="280" t="s">
        <v>26</v>
      </c>
      <c r="V200" s="280" t="s">
        <v>522</v>
      </c>
      <c r="W200" s="280" t="s">
        <v>594</v>
      </c>
      <c r="X200" s="280" t="n">
        <f aca="false">IF($W200="Critical Importance",20,IF($W200="Minor Importance",5,10))</f>
        <v>10</v>
      </c>
    </row>
    <row r="201" customFormat="false" ht="76.5" hidden="false" customHeight="true" outlineLevel="0" collapsed="false">
      <c r="A201" s="280" t="s">
        <v>268</v>
      </c>
      <c r="B201" s="280" t="s">
        <v>1295</v>
      </c>
      <c r="C201" s="280" t="n">
        <v>0</v>
      </c>
      <c r="D201" s="280" t="n">
        <v>0</v>
      </c>
      <c r="E201" s="280" t="n">
        <v>0</v>
      </c>
      <c r="F201" s="280" t="n">
        <v>0</v>
      </c>
      <c r="G201" s="280" t="n">
        <v>0</v>
      </c>
      <c r="H201" s="280" t="n">
        <v>1</v>
      </c>
      <c r="I201" s="280" t="n">
        <v>0</v>
      </c>
      <c r="J201" s="280" t="n">
        <v>1</v>
      </c>
      <c r="K201" s="280"/>
      <c r="L201" s="280" t="s">
        <v>1277</v>
      </c>
      <c r="M201" s="280" t="s">
        <v>522</v>
      </c>
      <c r="N201" s="280" t="s">
        <v>1278</v>
      </c>
      <c r="O201" s="280" t="s">
        <v>1279</v>
      </c>
      <c r="P201" s="280" t="s">
        <v>1279</v>
      </c>
      <c r="Q201" s="280" t="s">
        <v>1279</v>
      </c>
      <c r="R201" s="280"/>
      <c r="S201" s="280" t="s">
        <v>1280</v>
      </c>
      <c r="T201" s="280" t="s">
        <v>1281</v>
      </c>
      <c r="U201" s="280" t="s">
        <v>31</v>
      </c>
      <c r="V201" s="280" t="s">
        <v>522</v>
      </c>
      <c r="W201" s="280" t="s">
        <v>594</v>
      </c>
      <c r="X201" s="280" t="n">
        <f aca="false">IF($W201="Critical Importance",20,IF($W201="Minor Importance",5,10))</f>
        <v>10</v>
      </c>
    </row>
    <row r="202" customFormat="false" ht="76.5" hidden="false" customHeight="true" outlineLevel="0" collapsed="false">
      <c r="A202" s="280" t="s">
        <v>269</v>
      </c>
      <c r="B202" s="280" t="s">
        <v>1296</v>
      </c>
      <c r="C202" s="280" t="n">
        <v>0</v>
      </c>
      <c r="D202" s="280" t="n">
        <v>0</v>
      </c>
      <c r="E202" s="280" t="n">
        <v>0</v>
      </c>
      <c r="F202" s="280" t="n">
        <v>0</v>
      </c>
      <c r="G202" s="280" t="n">
        <v>0</v>
      </c>
      <c r="H202" s="280" t="n">
        <v>1</v>
      </c>
      <c r="I202" s="280" t="n">
        <v>0</v>
      </c>
      <c r="J202" s="280" t="n">
        <v>1</v>
      </c>
      <c r="K202" s="280"/>
      <c r="L202" s="280" t="s">
        <v>1277</v>
      </c>
      <c r="M202" s="280" t="s">
        <v>522</v>
      </c>
      <c r="N202" s="280" t="s">
        <v>1278</v>
      </c>
      <c r="O202" s="280" t="s">
        <v>1279</v>
      </c>
      <c r="P202" s="280" t="s">
        <v>1279</v>
      </c>
      <c r="Q202" s="280" t="s">
        <v>1279</v>
      </c>
      <c r="R202" s="280"/>
      <c r="S202" s="280" t="s">
        <v>1280</v>
      </c>
      <c r="T202" s="280" t="s">
        <v>1281</v>
      </c>
      <c r="U202" s="280" t="s">
        <v>31</v>
      </c>
      <c r="V202" s="280" t="s">
        <v>522</v>
      </c>
      <c r="W202" s="280" t="s">
        <v>594</v>
      </c>
      <c r="X202" s="280" t="n">
        <f aca="false">IF($W202="Critical Importance",20,IF($W202="Minor Importance",5,10))</f>
        <v>10</v>
      </c>
    </row>
    <row r="203" customFormat="false" ht="76.5" hidden="false" customHeight="true" outlineLevel="0" collapsed="false">
      <c r="A203" s="280" t="s">
        <v>270</v>
      </c>
      <c r="B203" s="280" t="s">
        <v>1297</v>
      </c>
      <c r="C203" s="280" t="n">
        <v>0</v>
      </c>
      <c r="D203" s="280" t="n">
        <v>0</v>
      </c>
      <c r="E203" s="280" t="n">
        <v>0</v>
      </c>
      <c r="F203" s="280" t="n">
        <v>0</v>
      </c>
      <c r="G203" s="280" t="n">
        <v>0</v>
      </c>
      <c r="H203" s="280" t="n">
        <v>1</v>
      </c>
      <c r="I203" s="280" t="n">
        <v>0</v>
      </c>
      <c r="J203" s="280" t="n">
        <v>1</v>
      </c>
      <c r="K203" s="280"/>
      <c r="L203" s="280" t="s">
        <v>1277</v>
      </c>
      <c r="M203" s="280" t="s">
        <v>522</v>
      </c>
      <c r="N203" s="280" t="s">
        <v>1278</v>
      </c>
      <c r="O203" s="280" t="s">
        <v>1279</v>
      </c>
      <c r="P203" s="280" t="s">
        <v>1279</v>
      </c>
      <c r="Q203" s="280" t="s">
        <v>1279</v>
      </c>
      <c r="R203" s="280"/>
      <c r="S203" s="280" t="s">
        <v>1280</v>
      </c>
      <c r="T203" s="280" t="s">
        <v>1281</v>
      </c>
      <c r="U203" s="280" t="s">
        <v>31</v>
      </c>
      <c r="V203" s="280" t="s">
        <v>522</v>
      </c>
      <c r="W203" s="280" t="s">
        <v>594</v>
      </c>
      <c r="X203" s="280" t="n">
        <f aca="false">IF($W203="Critical Importance",20,IF($W203="Minor Importance",5,10))</f>
        <v>10</v>
      </c>
    </row>
    <row r="204" customFormat="false" ht="76.5" hidden="false" customHeight="true" outlineLevel="0" collapsed="false">
      <c r="A204" s="280" t="s">
        <v>271</v>
      </c>
      <c r="B204" s="280" t="s">
        <v>1298</v>
      </c>
      <c r="C204" s="280" t="n">
        <v>0</v>
      </c>
      <c r="D204" s="280" t="n">
        <v>0</v>
      </c>
      <c r="E204" s="280" t="n">
        <v>0</v>
      </c>
      <c r="F204" s="280" t="n">
        <v>0</v>
      </c>
      <c r="G204" s="280" t="n">
        <v>0</v>
      </c>
      <c r="H204" s="280" t="n">
        <v>1</v>
      </c>
      <c r="I204" s="280" t="n">
        <v>0</v>
      </c>
      <c r="J204" s="280" t="n">
        <v>1</v>
      </c>
      <c r="K204" s="280"/>
      <c r="L204" s="280" t="s">
        <v>1277</v>
      </c>
      <c r="M204" s="280" t="s">
        <v>522</v>
      </c>
      <c r="N204" s="280" t="s">
        <v>1278</v>
      </c>
      <c r="O204" s="280" t="s">
        <v>1279</v>
      </c>
      <c r="P204" s="280" t="s">
        <v>1279</v>
      </c>
      <c r="Q204" s="280" t="s">
        <v>1279</v>
      </c>
      <c r="R204" s="280"/>
      <c r="S204" s="280" t="s">
        <v>1280</v>
      </c>
      <c r="T204" s="280" t="s">
        <v>1281</v>
      </c>
      <c r="U204" s="280" t="s">
        <v>26</v>
      </c>
      <c r="V204" s="280" t="s">
        <v>522</v>
      </c>
      <c r="W204" s="280" t="s">
        <v>594</v>
      </c>
      <c r="X204" s="280" t="n">
        <f aca="false">IF($W204="Critical Importance",20,IF($W204="Minor Importance",5,10))</f>
        <v>10</v>
      </c>
    </row>
    <row r="205" customFormat="false" ht="76.5" hidden="false" customHeight="true" outlineLevel="0" collapsed="false">
      <c r="A205" s="280" t="s">
        <v>272</v>
      </c>
      <c r="B205" s="280" t="s">
        <v>1299</v>
      </c>
      <c r="C205" s="280" t="n">
        <v>0</v>
      </c>
      <c r="D205" s="280" t="n">
        <v>0</v>
      </c>
      <c r="E205" s="280" t="n">
        <v>0</v>
      </c>
      <c r="F205" s="280" t="n">
        <v>0</v>
      </c>
      <c r="G205" s="280" t="n">
        <v>0</v>
      </c>
      <c r="H205" s="280" t="n">
        <v>1</v>
      </c>
      <c r="I205" s="280" t="n">
        <v>0</v>
      </c>
      <c r="J205" s="280" t="n">
        <v>1</v>
      </c>
      <c r="K205" s="280"/>
      <c r="L205" s="280" t="s">
        <v>1277</v>
      </c>
      <c r="M205" s="280" t="s">
        <v>522</v>
      </c>
      <c r="N205" s="280" t="s">
        <v>1278</v>
      </c>
      <c r="O205" s="280" t="s">
        <v>1279</v>
      </c>
      <c r="P205" s="280" t="s">
        <v>1279</v>
      </c>
      <c r="Q205" s="280" t="s">
        <v>1279</v>
      </c>
      <c r="R205" s="280"/>
      <c r="S205" s="280" t="s">
        <v>1280</v>
      </c>
      <c r="T205" s="280" t="s">
        <v>1281</v>
      </c>
      <c r="U205" s="280" t="s">
        <v>31</v>
      </c>
      <c r="V205" s="280" t="s">
        <v>522</v>
      </c>
      <c r="W205" s="280" t="s">
        <v>594</v>
      </c>
      <c r="X205" s="280" t="n">
        <f aca="false">IF($W205="Critical Importance",20,IF($W205="Minor Importance",5,10))</f>
        <v>10</v>
      </c>
    </row>
    <row r="206" customFormat="false" ht="76.5" hidden="false" customHeight="true" outlineLevel="0" collapsed="false">
      <c r="A206" s="280" t="s">
        <v>273</v>
      </c>
      <c r="B206" s="280" t="s">
        <v>1300</v>
      </c>
      <c r="C206" s="280" t="n">
        <v>0</v>
      </c>
      <c r="D206" s="280" t="n">
        <v>0</v>
      </c>
      <c r="E206" s="280" t="n">
        <v>0</v>
      </c>
      <c r="F206" s="280" t="n">
        <v>0</v>
      </c>
      <c r="G206" s="280" t="n">
        <v>0</v>
      </c>
      <c r="H206" s="280" t="n">
        <v>1</v>
      </c>
      <c r="I206" s="280" t="n">
        <v>0</v>
      </c>
      <c r="J206" s="280" t="n">
        <v>1</v>
      </c>
      <c r="K206" s="280"/>
      <c r="L206" s="280" t="s">
        <v>1277</v>
      </c>
      <c r="M206" s="280" t="s">
        <v>522</v>
      </c>
      <c r="N206" s="280" t="s">
        <v>1278</v>
      </c>
      <c r="O206" s="280" t="s">
        <v>1279</v>
      </c>
      <c r="P206" s="280" t="s">
        <v>1279</v>
      </c>
      <c r="Q206" s="280" t="s">
        <v>1279</v>
      </c>
      <c r="R206" s="280"/>
      <c r="S206" s="280" t="s">
        <v>1280</v>
      </c>
      <c r="T206" s="280" t="s">
        <v>1281</v>
      </c>
      <c r="U206" s="280" t="s">
        <v>31</v>
      </c>
      <c r="V206" s="280" t="s">
        <v>522</v>
      </c>
      <c r="W206" s="280" t="s">
        <v>594</v>
      </c>
      <c r="X206" s="280" t="n">
        <f aca="false">IF($W206="Critical Importance",20,IF($W206="Minor Importance",5,10))</f>
        <v>10</v>
      </c>
    </row>
    <row r="207" customFormat="false" ht="76.5" hidden="false" customHeight="true" outlineLevel="0" collapsed="false">
      <c r="A207" s="280" t="s">
        <v>274</v>
      </c>
      <c r="B207" s="280" t="s">
        <v>1301</v>
      </c>
      <c r="C207" s="280" t="n">
        <v>0</v>
      </c>
      <c r="D207" s="280" t="n">
        <v>0</v>
      </c>
      <c r="E207" s="280" t="n">
        <v>0</v>
      </c>
      <c r="F207" s="280" t="n">
        <v>0</v>
      </c>
      <c r="G207" s="280" t="n">
        <v>0</v>
      </c>
      <c r="H207" s="280" t="n">
        <v>1</v>
      </c>
      <c r="I207" s="280" t="n">
        <v>0</v>
      </c>
      <c r="J207" s="280" t="n">
        <v>1</v>
      </c>
      <c r="K207" s="280"/>
      <c r="L207" s="280" t="s">
        <v>1277</v>
      </c>
      <c r="M207" s="280" t="s">
        <v>522</v>
      </c>
      <c r="N207" s="280" t="s">
        <v>1278</v>
      </c>
      <c r="O207" s="280" t="s">
        <v>1279</v>
      </c>
      <c r="P207" s="280" t="s">
        <v>1279</v>
      </c>
      <c r="Q207" s="280" t="s">
        <v>1279</v>
      </c>
      <c r="R207" s="280"/>
      <c r="S207" s="280" t="s">
        <v>1280</v>
      </c>
      <c r="T207" s="280" t="s">
        <v>1281</v>
      </c>
      <c r="U207" s="280" t="s">
        <v>31</v>
      </c>
      <c r="V207" s="280" t="s">
        <v>522</v>
      </c>
      <c r="W207" s="280" t="s">
        <v>594</v>
      </c>
      <c r="X207" s="280" t="n">
        <f aca="false">IF($W207="Critical Importance",20,IF($W207="Minor Importance",5,10))</f>
        <v>10</v>
      </c>
    </row>
    <row r="208" customFormat="false" ht="76.5" hidden="false" customHeight="true" outlineLevel="0" collapsed="false">
      <c r="A208" s="280" t="s">
        <v>275</v>
      </c>
      <c r="B208" s="280" t="s">
        <v>1302</v>
      </c>
      <c r="C208" s="280" t="n">
        <v>0</v>
      </c>
      <c r="D208" s="280" t="n">
        <v>0</v>
      </c>
      <c r="E208" s="280" t="n">
        <v>0</v>
      </c>
      <c r="F208" s="280" t="n">
        <v>0</v>
      </c>
      <c r="G208" s="280" t="n">
        <v>0</v>
      </c>
      <c r="H208" s="280" t="n">
        <v>1</v>
      </c>
      <c r="I208" s="280" t="n">
        <v>0</v>
      </c>
      <c r="J208" s="280" t="n">
        <v>1</v>
      </c>
      <c r="K208" s="280"/>
      <c r="L208" s="280" t="s">
        <v>1277</v>
      </c>
      <c r="M208" s="280" t="s">
        <v>522</v>
      </c>
      <c r="N208" s="280" t="s">
        <v>1278</v>
      </c>
      <c r="O208" s="280" t="s">
        <v>1279</v>
      </c>
      <c r="P208" s="280" t="s">
        <v>1279</v>
      </c>
      <c r="Q208" s="280" t="s">
        <v>1279</v>
      </c>
      <c r="R208" s="280"/>
      <c r="S208" s="280" t="s">
        <v>1280</v>
      </c>
      <c r="T208" s="280" t="s">
        <v>1281</v>
      </c>
      <c r="U208" s="280" t="s">
        <v>31</v>
      </c>
      <c r="V208" s="280" t="s">
        <v>522</v>
      </c>
      <c r="W208" s="280" t="s">
        <v>594</v>
      </c>
      <c r="X208" s="280" t="n">
        <f aca="false">IF($W208="Critical Importance",20,IF($W208="Minor Importance",5,10))</f>
        <v>10</v>
      </c>
    </row>
    <row r="209" customFormat="false" ht="76.5" hidden="false" customHeight="true" outlineLevel="0" collapsed="false">
      <c r="A209" s="280" t="s">
        <v>276</v>
      </c>
      <c r="B209" s="280" t="s">
        <v>1303</v>
      </c>
      <c r="C209" s="280" t="n">
        <v>0</v>
      </c>
      <c r="D209" s="280" t="n">
        <v>0</v>
      </c>
      <c r="E209" s="280" t="n">
        <v>0</v>
      </c>
      <c r="F209" s="280" t="n">
        <v>0</v>
      </c>
      <c r="G209" s="280" t="n">
        <v>0</v>
      </c>
      <c r="H209" s="280" t="n">
        <v>1</v>
      </c>
      <c r="I209" s="280" t="n">
        <v>0</v>
      </c>
      <c r="J209" s="280" t="n">
        <v>1</v>
      </c>
      <c r="K209" s="280"/>
      <c r="L209" s="280" t="s">
        <v>1277</v>
      </c>
      <c r="M209" s="280" t="s">
        <v>522</v>
      </c>
      <c r="N209" s="280" t="s">
        <v>1278</v>
      </c>
      <c r="O209" s="280" t="s">
        <v>1279</v>
      </c>
      <c r="P209" s="280" t="s">
        <v>1304</v>
      </c>
      <c r="Q209" s="280" t="s">
        <v>1304</v>
      </c>
      <c r="R209" s="280"/>
      <c r="S209" s="280" t="s">
        <v>1280</v>
      </c>
      <c r="T209" s="280" t="s">
        <v>1281</v>
      </c>
      <c r="U209" s="280" t="s">
        <v>31</v>
      </c>
      <c r="V209" s="280" t="s">
        <v>522</v>
      </c>
      <c r="W209" s="280" t="s">
        <v>594</v>
      </c>
      <c r="X209" s="280" t="n">
        <f aca="false">IF($W209="Critical Importance",20,IF($W209="Minor Importance",5,10))</f>
        <v>10</v>
      </c>
    </row>
    <row r="210" customFormat="false" ht="76.5" hidden="false" customHeight="true" outlineLevel="0" collapsed="false">
      <c r="A210" s="280" t="s">
        <v>277</v>
      </c>
      <c r="B210" s="280" t="s">
        <v>1305</v>
      </c>
      <c r="C210" s="280" t="n">
        <v>0</v>
      </c>
      <c r="D210" s="280" t="n">
        <v>0</v>
      </c>
      <c r="E210" s="280" t="n">
        <v>0</v>
      </c>
      <c r="F210" s="280" t="n">
        <v>0</v>
      </c>
      <c r="G210" s="280" t="n">
        <v>0</v>
      </c>
      <c r="H210" s="280" t="n">
        <v>1</v>
      </c>
      <c r="I210" s="280" t="n">
        <v>0</v>
      </c>
      <c r="J210" s="280" t="n">
        <v>1</v>
      </c>
      <c r="K210" s="280"/>
      <c r="L210" s="280" t="s">
        <v>1277</v>
      </c>
      <c r="M210" s="280" t="s">
        <v>522</v>
      </c>
      <c r="N210" s="280" t="s">
        <v>1278</v>
      </c>
      <c r="O210" s="280" t="s">
        <v>1279</v>
      </c>
      <c r="P210" s="280" t="s">
        <v>1279</v>
      </c>
      <c r="Q210" s="280" t="s">
        <v>1279</v>
      </c>
      <c r="R210" s="280"/>
      <c r="S210" s="280" t="s">
        <v>1280</v>
      </c>
      <c r="T210" s="280" t="s">
        <v>1281</v>
      </c>
      <c r="U210" s="280" t="s">
        <v>31</v>
      </c>
      <c r="V210" s="280" t="s">
        <v>522</v>
      </c>
      <c r="W210" s="280" t="s">
        <v>594</v>
      </c>
      <c r="X210" s="280" t="n">
        <f aca="false">IF($W210="Critical Importance",20,IF($W210="Minor Importance",5,10))</f>
        <v>10</v>
      </c>
    </row>
    <row r="211" customFormat="false" ht="76.5" hidden="false" customHeight="true" outlineLevel="0" collapsed="false">
      <c r="A211" s="280" t="s">
        <v>278</v>
      </c>
      <c r="B211" s="280" t="s">
        <v>1306</v>
      </c>
      <c r="C211" s="280" t="n">
        <v>0</v>
      </c>
      <c r="D211" s="280" t="n">
        <v>0</v>
      </c>
      <c r="E211" s="280" t="n">
        <v>0</v>
      </c>
      <c r="F211" s="280" t="n">
        <v>0</v>
      </c>
      <c r="G211" s="280" t="n">
        <v>0</v>
      </c>
      <c r="H211" s="280" t="n">
        <v>1</v>
      </c>
      <c r="I211" s="280" t="n">
        <v>0</v>
      </c>
      <c r="J211" s="280" t="n">
        <v>1</v>
      </c>
      <c r="K211" s="280"/>
      <c r="L211" s="280" t="s">
        <v>1277</v>
      </c>
      <c r="M211" s="280" t="s">
        <v>522</v>
      </c>
      <c r="N211" s="280" t="s">
        <v>1278</v>
      </c>
      <c r="O211" s="280" t="s">
        <v>1279</v>
      </c>
      <c r="P211" s="280" t="s">
        <v>1279</v>
      </c>
      <c r="Q211" s="280" t="s">
        <v>1279</v>
      </c>
      <c r="R211" s="280"/>
      <c r="S211" s="280" t="s">
        <v>1280</v>
      </c>
      <c r="T211" s="280" t="s">
        <v>1281</v>
      </c>
      <c r="U211" s="280" t="s">
        <v>31</v>
      </c>
      <c r="V211" s="280" t="s">
        <v>522</v>
      </c>
      <c r="W211" s="280" t="s">
        <v>594</v>
      </c>
      <c r="X211" s="280" t="n">
        <f aca="false">IF($W211="Critical Importance",20,IF($W211="Minor Importance",5,10))</f>
        <v>10</v>
      </c>
    </row>
    <row r="212" customFormat="false" ht="76.5" hidden="false" customHeight="true" outlineLevel="0" collapsed="false">
      <c r="A212" s="280" t="s">
        <v>279</v>
      </c>
      <c r="B212" s="280" t="s">
        <v>1307</v>
      </c>
      <c r="C212" s="280" t="n">
        <v>0</v>
      </c>
      <c r="D212" s="280" t="n">
        <v>0</v>
      </c>
      <c r="E212" s="280" t="n">
        <v>0</v>
      </c>
      <c r="F212" s="280" t="n">
        <v>0</v>
      </c>
      <c r="G212" s="280" t="n">
        <v>0</v>
      </c>
      <c r="H212" s="280" t="n">
        <v>1</v>
      </c>
      <c r="I212" s="280" t="n">
        <v>0</v>
      </c>
      <c r="J212" s="280" t="n">
        <v>1</v>
      </c>
      <c r="K212" s="280"/>
      <c r="L212" s="280" t="s">
        <v>1277</v>
      </c>
      <c r="M212" s="280" t="s">
        <v>522</v>
      </c>
      <c r="N212" s="280" t="s">
        <v>1278</v>
      </c>
      <c r="O212" s="280" t="s">
        <v>1279</v>
      </c>
      <c r="P212" s="280" t="s">
        <v>1279</v>
      </c>
      <c r="Q212" s="280" t="s">
        <v>1279</v>
      </c>
      <c r="R212" s="280"/>
      <c r="S212" s="280" t="s">
        <v>1280</v>
      </c>
      <c r="T212" s="280" t="s">
        <v>1281</v>
      </c>
      <c r="U212" s="280" t="s">
        <v>31</v>
      </c>
      <c r="V212" s="280" t="s">
        <v>522</v>
      </c>
      <c r="W212" s="280" t="s">
        <v>594</v>
      </c>
      <c r="X212" s="280" t="n">
        <f aca="false">IF($W212="Critical Importance",20,IF($W212="Minor Importance",5,10))</f>
        <v>10</v>
      </c>
    </row>
    <row r="213" customFormat="false" ht="76.5" hidden="false" customHeight="true" outlineLevel="0" collapsed="false">
      <c r="A213" s="280" t="s">
        <v>280</v>
      </c>
      <c r="B213" s="280" t="s">
        <v>1308</v>
      </c>
      <c r="C213" s="280" t="n">
        <v>0</v>
      </c>
      <c r="D213" s="280" t="n">
        <v>0</v>
      </c>
      <c r="E213" s="280" t="n">
        <v>0</v>
      </c>
      <c r="F213" s="280" t="n">
        <v>0</v>
      </c>
      <c r="G213" s="280" t="n">
        <v>0</v>
      </c>
      <c r="H213" s="280" t="n">
        <v>1</v>
      </c>
      <c r="I213" s="280" t="n">
        <v>0</v>
      </c>
      <c r="J213" s="280" t="n">
        <v>1</v>
      </c>
      <c r="K213" s="280"/>
      <c r="L213" s="280" t="s">
        <v>1277</v>
      </c>
      <c r="M213" s="280" t="s">
        <v>522</v>
      </c>
      <c r="N213" s="280" t="s">
        <v>1278</v>
      </c>
      <c r="O213" s="280" t="s">
        <v>1279</v>
      </c>
      <c r="P213" s="280" t="s">
        <v>1279</v>
      </c>
      <c r="Q213" s="280" t="s">
        <v>1279</v>
      </c>
      <c r="R213" s="280"/>
      <c r="S213" s="280" t="s">
        <v>1280</v>
      </c>
      <c r="T213" s="280" t="s">
        <v>1281</v>
      </c>
      <c r="U213" s="280" t="s">
        <v>31</v>
      </c>
      <c r="V213" s="280" t="s">
        <v>522</v>
      </c>
      <c r="W213" s="280" t="s">
        <v>594</v>
      </c>
      <c r="X213" s="280" t="n">
        <f aca="false">IF($W213="Critical Importance",20,IF($W213="Minor Importance",5,10))</f>
        <v>10</v>
      </c>
    </row>
    <row r="214" customFormat="false" ht="76.5" hidden="false" customHeight="true" outlineLevel="0" collapsed="false">
      <c r="A214" s="280" t="s">
        <v>281</v>
      </c>
      <c r="B214" s="280" t="s">
        <v>1309</v>
      </c>
      <c r="C214" s="280" t="n">
        <v>0</v>
      </c>
      <c r="D214" s="280" t="n">
        <v>0</v>
      </c>
      <c r="E214" s="280" t="n">
        <v>0</v>
      </c>
      <c r="F214" s="280" t="n">
        <v>0</v>
      </c>
      <c r="G214" s="280" t="n">
        <v>0</v>
      </c>
      <c r="H214" s="280" t="n">
        <v>1</v>
      </c>
      <c r="I214" s="280" t="n">
        <v>0</v>
      </c>
      <c r="J214" s="280" t="n">
        <v>1</v>
      </c>
      <c r="K214" s="280"/>
      <c r="L214" s="280" t="s">
        <v>1277</v>
      </c>
      <c r="M214" s="280" t="s">
        <v>522</v>
      </c>
      <c r="N214" s="280" t="s">
        <v>1278</v>
      </c>
      <c r="O214" s="280" t="s">
        <v>1279</v>
      </c>
      <c r="P214" s="280" t="s">
        <v>1279</v>
      </c>
      <c r="Q214" s="280" t="s">
        <v>1279</v>
      </c>
      <c r="R214" s="280"/>
      <c r="S214" s="280" t="s">
        <v>1280</v>
      </c>
      <c r="T214" s="280" t="s">
        <v>1281</v>
      </c>
      <c r="U214" s="280" t="s">
        <v>31</v>
      </c>
      <c r="V214" s="280" t="s">
        <v>522</v>
      </c>
      <c r="W214" s="280" t="s">
        <v>594</v>
      </c>
      <c r="X214" s="280" t="n">
        <f aca="false">IF($W214="Critical Importance",20,IF($W214="Minor Importance",5,10))</f>
        <v>10</v>
      </c>
    </row>
    <row r="215" customFormat="false" ht="76.5" hidden="false" customHeight="true" outlineLevel="0" collapsed="false">
      <c r="A215" s="280" t="s">
        <v>282</v>
      </c>
      <c r="B215" s="280" t="s">
        <v>1310</v>
      </c>
      <c r="C215" s="280" t="n">
        <v>0</v>
      </c>
      <c r="D215" s="280" t="n">
        <v>0</v>
      </c>
      <c r="E215" s="280" t="n">
        <v>0</v>
      </c>
      <c r="F215" s="280" t="n">
        <v>0</v>
      </c>
      <c r="G215" s="280" t="n">
        <v>0</v>
      </c>
      <c r="H215" s="280" t="n">
        <v>1</v>
      </c>
      <c r="I215" s="280" t="n">
        <v>0</v>
      </c>
      <c r="J215" s="280" t="n">
        <v>1</v>
      </c>
      <c r="K215" s="280"/>
      <c r="L215" s="280" t="s">
        <v>1277</v>
      </c>
      <c r="M215" s="280" t="s">
        <v>522</v>
      </c>
      <c r="N215" s="280" t="s">
        <v>1278</v>
      </c>
      <c r="O215" s="280" t="s">
        <v>1279</v>
      </c>
      <c r="P215" s="280" t="s">
        <v>1279</v>
      </c>
      <c r="Q215" s="280" t="s">
        <v>1279</v>
      </c>
      <c r="R215" s="280"/>
      <c r="S215" s="280" t="s">
        <v>1280</v>
      </c>
      <c r="T215" s="280" t="s">
        <v>1281</v>
      </c>
      <c r="U215" s="280" t="s">
        <v>31</v>
      </c>
      <c r="V215" s="280" t="s">
        <v>522</v>
      </c>
      <c r="W215" s="280" t="s">
        <v>547</v>
      </c>
      <c r="X215" s="280" t="n">
        <f aca="false">IF($W215="Critical Importance",20,IF($W215="Minor Importance",5,10))</f>
        <v>5</v>
      </c>
    </row>
    <row r="216" customFormat="false" ht="60.75" hidden="false" customHeight="true" outlineLevel="0" collapsed="false">
      <c r="A216" s="280" t="s">
        <v>283</v>
      </c>
      <c r="B216" s="280" t="s">
        <v>1311</v>
      </c>
      <c r="C216" s="280" t="n">
        <v>0</v>
      </c>
      <c r="D216" s="280" t="n">
        <v>0</v>
      </c>
      <c r="E216" s="280" t="n">
        <v>0</v>
      </c>
      <c r="F216" s="280" t="n">
        <v>0</v>
      </c>
      <c r="G216" s="280" t="n">
        <v>0</v>
      </c>
      <c r="H216" s="280" t="n">
        <v>1</v>
      </c>
      <c r="I216" s="280" t="n">
        <v>0</v>
      </c>
      <c r="J216" s="280" t="n">
        <v>1</v>
      </c>
      <c r="K216" s="280"/>
      <c r="L216" s="280" t="s">
        <v>707</v>
      </c>
      <c r="M216" s="280" t="s">
        <v>522</v>
      </c>
      <c r="N216" s="280" t="s">
        <v>1312</v>
      </c>
      <c r="O216" s="280" t="s">
        <v>1313</v>
      </c>
      <c r="P216" s="280" t="s">
        <v>1313</v>
      </c>
      <c r="Q216" s="280" t="s">
        <v>1313</v>
      </c>
      <c r="R216" s="280"/>
      <c r="S216" s="280" t="s">
        <v>1314</v>
      </c>
      <c r="T216" s="280" t="s">
        <v>1315</v>
      </c>
      <c r="U216" s="280" t="s">
        <v>31</v>
      </c>
      <c r="V216" s="280" t="s">
        <v>522</v>
      </c>
      <c r="W216" s="280" t="s">
        <v>538</v>
      </c>
      <c r="X216" s="280" t="n">
        <f aca="false">IF($W216="Critical Importance",20,IF($W216="Minor Importance",5,10))</f>
        <v>20</v>
      </c>
    </row>
    <row r="217" customFormat="false" ht="64.9" hidden="false" customHeight="false" outlineLevel="0" collapsed="false">
      <c r="A217" s="280" t="s">
        <v>284</v>
      </c>
      <c r="B217" s="280" t="s">
        <v>1316</v>
      </c>
      <c r="C217" s="280" t="n">
        <v>0</v>
      </c>
      <c r="D217" s="280" t="n">
        <v>0</v>
      </c>
      <c r="E217" s="280" t="n">
        <v>0</v>
      </c>
      <c r="F217" s="280" t="n">
        <v>0</v>
      </c>
      <c r="G217" s="280" t="n">
        <v>0</v>
      </c>
      <c r="H217" s="280" t="n">
        <v>1</v>
      </c>
      <c r="I217" s="280" t="n">
        <v>0</v>
      </c>
      <c r="J217" s="280" t="n">
        <v>1</v>
      </c>
      <c r="K217" s="280"/>
      <c r="L217" s="280" t="s">
        <v>707</v>
      </c>
      <c r="M217" s="280" t="s">
        <v>522</v>
      </c>
      <c r="N217" s="280" t="s">
        <v>1312</v>
      </c>
      <c r="O217" s="280" t="s">
        <v>1313</v>
      </c>
      <c r="P217" s="280" t="s">
        <v>1313</v>
      </c>
      <c r="Q217" s="280" t="s">
        <v>1313</v>
      </c>
      <c r="R217" s="280"/>
      <c r="S217" s="280" t="s">
        <v>1314</v>
      </c>
      <c r="T217" s="280" t="s">
        <v>1315</v>
      </c>
      <c r="U217" s="280" t="s">
        <v>26</v>
      </c>
      <c r="V217" s="280" t="s">
        <v>522</v>
      </c>
      <c r="W217" s="280" t="s">
        <v>538</v>
      </c>
      <c r="X217" s="280" t="n">
        <f aca="false">IF($W217="Critical Importance",20,IF($W217="Minor Importance",5,10))</f>
        <v>20</v>
      </c>
    </row>
    <row r="218" customFormat="false" ht="64.9" hidden="false" customHeight="false" outlineLevel="0" collapsed="false">
      <c r="A218" s="280" t="s">
        <v>285</v>
      </c>
      <c r="B218" s="280" t="s">
        <v>1317</v>
      </c>
      <c r="C218" s="280" t="n">
        <v>0</v>
      </c>
      <c r="D218" s="280" t="n">
        <v>0</v>
      </c>
      <c r="E218" s="280" t="n">
        <v>0</v>
      </c>
      <c r="F218" s="280" t="n">
        <v>0</v>
      </c>
      <c r="G218" s="280" t="n">
        <v>0</v>
      </c>
      <c r="H218" s="280" t="n">
        <v>1</v>
      </c>
      <c r="I218" s="280" t="n">
        <v>0</v>
      </c>
      <c r="J218" s="280" t="n">
        <v>1</v>
      </c>
      <c r="K218" s="280"/>
      <c r="L218" s="280" t="s">
        <v>707</v>
      </c>
      <c r="M218" s="280" t="s">
        <v>522</v>
      </c>
      <c r="N218" s="280" t="s">
        <v>1312</v>
      </c>
      <c r="O218" s="280" t="s">
        <v>1313</v>
      </c>
      <c r="P218" s="280" t="s">
        <v>1313</v>
      </c>
      <c r="Q218" s="280" t="s">
        <v>1313</v>
      </c>
      <c r="R218" s="280"/>
      <c r="S218" s="280" t="s">
        <v>1314</v>
      </c>
      <c r="T218" s="280" t="s">
        <v>1315</v>
      </c>
      <c r="U218" s="280" t="s">
        <v>26</v>
      </c>
      <c r="V218" s="280" t="s">
        <v>522</v>
      </c>
      <c r="W218" s="280" t="s">
        <v>538</v>
      </c>
      <c r="X218" s="280" t="n">
        <f aca="false">IF($W218="Critical Importance",20,IF($W218="Minor Importance",5,10))</f>
        <v>20</v>
      </c>
    </row>
    <row r="219" customFormat="false" ht="64.9" hidden="false" customHeight="false" outlineLevel="0" collapsed="false">
      <c r="A219" s="280" t="s">
        <v>286</v>
      </c>
      <c r="B219" s="280" t="s">
        <v>1318</v>
      </c>
      <c r="C219" s="280" t="n">
        <v>0</v>
      </c>
      <c r="D219" s="280" t="n">
        <v>0</v>
      </c>
      <c r="E219" s="280" t="n">
        <v>0</v>
      </c>
      <c r="F219" s="280" t="n">
        <v>0</v>
      </c>
      <c r="G219" s="280" t="n">
        <v>0</v>
      </c>
      <c r="H219" s="280" t="n">
        <v>1</v>
      </c>
      <c r="I219" s="280" t="n">
        <v>0</v>
      </c>
      <c r="J219" s="280" t="n">
        <v>1</v>
      </c>
      <c r="K219" s="280"/>
      <c r="L219" s="280" t="s">
        <v>707</v>
      </c>
      <c r="M219" s="280" t="s">
        <v>522</v>
      </c>
      <c r="N219" s="280" t="s">
        <v>1312</v>
      </c>
      <c r="O219" s="280" t="s">
        <v>1313</v>
      </c>
      <c r="P219" s="280" t="s">
        <v>1313</v>
      </c>
      <c r="Q219" s="280" t="s">
        <v>1313</v>
      </c>
      <c r="R219" s="280"/>
      <c r="S219" s="280" t="s">
        <v>1314</v>
      </c>
      <c r="T219" s="280" t="s">
        <v>1315</v>
      </c>
      <c r="U219" s="280" t="s">
        <v>31</v>
      </c>
      <c r="V219" s="280" t="s">
        <v>522</v>
      </c>
      <c r="W219" s="280" t="s">
        <v>594</v>
      </c>
      <c r="X219" s="280" t="n">
        <f aca="false">IF($W219="Critical Importance",20,IF($W219="Minor Importance",5,10))</f>
        <v>10</v>
      </c>
    </row>
    <row r="220" customFormat="false" ht="64.9" hidden="false" customHeight="false" outlineLevel="0" collapsed="false">
      <c r="A220" s="280" t="s">
        <v>287</v>
      </c>
      <c r="B220" s="280" t="s">
        <v>1319</v>
      </c>
      <c r="C220" s="280" t="n">
        <v>0</v>
      </c>
      <c r="D220" s="280" t="n">
        <v>0</v>
      </c>
      <c r="E220" s="280" t="n">
        <v>0</v>
      </c>
      <c r="F220" s="280" t="n">
        <v>0</v>
      </c>
      <c r="G220" s="280" t="n">
        <v>0</v>
      </c>
      <c r="H220" s="280" t="n">
        <v>1</v>
      </c>
      <c r="I220" s="280" t="n">
        <v>0</v>
      </c>
      <c r="J220" s="280" t="n">
        <v>1</v>
      </c>
      <c r="K220" s="280"/>
      <c r="L220" s="280" t="s">
        <v>707</v>
      </c>
      <c r="M220" s="280" t="s">
        <v>522</v>
      </c>
      <c r="N220" s="280" t="s">
        <v>1312</v>
      </c>
      <c r="O220" s="280" t="s">
        <v>1313</v>
      </c>
      <c r="P220" s="280" t="s">
        <v>1313</v>
      </c>
      <c r="Q220" s="280" t="s">
        <v>1313</v>
      </c>
      <c r="R220" s="280"/>
      <c r="S220" s="280" t="s">
        <v>1314</v>
      </c>
      <c r="T220" s="280" t="s">
        <v>1315</v>
      </c>
      <c r="U220" s="280" t="s">
        <v>31</v>
      </c>
      <c r="V220" s="280" t="s">
        <v>522</v>
      </c>
      <c r="W220" s="280" t="s">
        <v>594</v>
      </c>
      <c r="X220" s="280" t="n">
        <f aca="false">IF($W220="Critical Importance",20,IF($W220="Minor Importance",5,10))</f>
        <v>10</v>
      </c>
    </row>
    <row r="221" customFormat="false" ht="64.9" hidden="false" customHeight="false" outlineLevel="0" collapsed="false">
      <c r="A221" s="280" t="s">
        <v>288</v>
      </c>
      <c r="B221" s="280" t="s">
        <v>1320</v>
      </c>
      <c r="C221" s="280" t="n">
        <v>0</v>
      </c>
      <c r="D221" s="280" t="n">
        <v>0</v>
      </c>
      <c r="E221" s="280" t="n">
        <v>0</v>
      </c>
      <c r="F221" s="280" t="n">
        <v>0</v>
      </c>
      <c r="G221" s="280" t="n">
        <v>0</v>
      </c>
      <c r="H221" s="280" t="n">
        <v>1</v>
      </c>
      <c r="I221" s="280" t="n">
        <v>0</v>
      </c>
      <c r="J221" s="280" t="n">
        <v>1</v>
      </c>
      <c r="K221" s="280"/>
      <c r="L221" s="280" t="s">
        <v>707</v>
      </c>
      <c r="M221" s="280" t="s">
        <v>522</v>
      </c>
      <c r="N221" s="280" t="s">
        <v>1312</v>
      </c>
      <c r="O221" s="280" t="s">
        <v>1313</v>
      </c>
      <c r="P221" s="280" t="s">
        <v>1313</v>
      </c>
      <c r="Q221" s="280" t="s">
        <v>1313</v>
      </c>
      <c r="R221" s="280"/>
      <c r="S221" s="280" t="s">
        <v>1314</v>
      </c>
      <c r="T221" s="280" t="s">
        <v>1315</v>
      </c>
      <c r="U221" s="280" t="s">
        <v>31</v>
      </c>
      <c r="V221" s="280" t="s">
        <v>522</v>
      </c>
      <c r="W221" s="280" t="s">
        <v>594</v>
      </c>
      <c r="X221" s="280" t="n">
        <f aca="false">IF($W221="Critical Importance",20,IF($W221="Minor Importance",5,10))</f>
        <v>10</v>
      </c>
    </row>
    <row r="222" customFormat="false" ht="64.9" hidden="false" customHeight="false" outlineLevel="0" collapsed="false">
      <c r="A222" s="280" t="s">
        <v>289</v>
      </c>
      <c r="B222" s="280" t="s">
        <v>1321</v>
      </c>
      <c r="C222" s="280" t="n">
        <v>0</v>
      </c>
      <c r="D222" s="280" t="n">
        <v>0</v>
      </c>
      <c r="E222" s="280" t="n">
        <v>0</v>
      </c>
      <c r="F222" s="280" t="n">
        <v>0</v>
      </c>
      <c r="G222" s="280" t="n">
        <v>0</v>
      </c>
      <c r="H222" s="280" t="n">
        <v>1</v>
      </c>
      <c r="I222" s="280" t="n">
        <v>0</v>
      </c>
      <c r="J222" s="280" t="n">
        <v>1</v>
      </c>
      <c r="K222" s="280"/>
      <c r="L222" s="280" t="s">
        <v>707</v>
      </c>
      <c r="M222" s="280" t="s">
        <v>522</v>
      </c>
      <c r="N222" s="280" t="s">
        <v>1312</v>
      </c>
      <c r="O222" s="280" t="s">
        <v>1313</v>
      </c>
      <c r="P222" s="280" t="s">
        <v>1313</v>
      </c>
      <c r="Q222" s="280" t="s">
        <v>1313</v>
      </c>
      <c r="R222" s="280"/>
      <c r="S222" s="280" t="s">
        <v>1314</v>
      </c>
      <c r="T222" s="280" t="s">
        <v>1315</v>
      </c>
      <c r="U222" s="280" t="s">
        <v>31</v>
      </c>
      <c r="V222" s="280" t="s">
        <v>522</v>
      </c>
      <c r="W222" s="280" t="s">
        <v>594</v>
      </c>
      <c r="X222" s="280" t="n">
        <f aca="false">IF($W222="Critical Importance",20,IF($W222="Minor Importance",5,10))</f>
        <v>10</v>
      </c>
    </row>
    <row r="223" customFormat="false" ht="64.9" hidden="false" customHeight="false" outlineLevel="0" collapsed="false">
      <c r="A223" s="280" t="s">
        <v>290</v>
      </c>
      <c r="B223" s="280" t="s">
        <v>1322</v>
      </c>
      <c r="C223" s="280" t="n">
        <v>0</v>
      </c>
      <c r="D223" s="280" t="n">
        <v>0</v>
      </c>
      <c r="E223" s="280" t="n">
        <v>0</v>
      </c>
      <c r="F223" s="280" t="n">
        <v>0</v>
      </c>
      <c r="G223" s="280" t="n">
        <v>0</v>
      </c>
      <c r="H223" s="280" t="n">
        <v>1</v>
      </c>
      <c r="I223" s="280" t="n">
        <v>0</v>
      </c>
      <c r="J223" s="280" t="n">
        <v>1</v>
      </c>
      <c r="K223" s="280"/>
      <c r="L223" s="280" t="s">
        <v>707</v>
      </c>
      <c r="M223" s="280" t="s">
        <v>522</v>
      </c>
      <c r="N223" s="280" t="s">
        <v>1312</v>
      </c>
      <c r="O223" s="280" t="s">
        <v>1313</v>
      </c>
      <c r="P223" s="280" t="s">
        <v>1313</v>
      </c>
      <c r="Q223" s="280" t="s">
        <v>1313</v>
      </c>
      <c r="R223" s="280"/>
      <c r="S223" s="280" t="s">
        <v>1314</v>
      </c>
      <c r="T223" s="280" t="s">
        <v>1315</v>
      </c>
      <c r="U223" s="280" t="s">
        <v>31</v>
      </c>
      <c r="V223" s="280" t="s">
        <v>522</v>
      </c>
      <c r="W223" s="280" t="s">
        <v>594</v>
      </c>
      <c r="X223" s="280" t="n">
        <f aca="false">IF($W223="Critical Importance",20,IF($W223="Minor Importance",5,10))</f>
        <v>10</v>
      </c>
    </row>
    <row r="224" customFormat="false" ht="64.9" hidden="false" customHeight="false" outlineLevel="0" collapsed="false">
      <c r="A224" s="280" t="s">
        <v>291</v>
      </c>
      <c r="B224" s="280" t="s">
        <v>1323</v>
      </c>
      <c r="C224" s="280" t="n">
        <v>0</v>
      </c>
      <c r="D224" s="280" t="n">
        <v>0</v>
      </c>
      <c r="E224" s="280" t="n">
        <v>0</v>
      </c>
      <c r="F224" s="280" t="n">
        <v>0</v>
      </c>
      <c r="G224" s="280" t="n">
        <v>0</v>
      </c>
      <c r="H224" s="280" t="n">
        <v>1</v>
      </c>
      <c r="I224" s="280" t="n">
        <v>0</v>
      </c>
      <c r="J224" s="280" t="n">
        <v>1</v>
      </c>
      <c r="K224" s="280"/>
      <c r="L224" s="280" t="s">
        <v>520</v>
      </c>
      <c r="M224" s="280" t="s">
        <v>522</v>
      </c>
      <c r="N224" s="280" t="s">
        <v>1312</v>
      </c>
      <c r="O224" s="280" t="s">
        <v>1313</v>
      </c>
      <c r="P224" s="280" t="s">
        <v>1313</v>
      </c>
      <c r="Q224" s="280" t="s">
        <v>1313</v>
      </c>
      <c r="R224" s="280"/>
      <c r="S224" s="280" t="s">
        <v>1314</v>
      </c>
      <c r="T224" s="280" t="s">
        <v>1315</v>
      </c>
      <c r="U224" s="280" t="s">
        <v>520</v>
      </c>
      <c r="V224" s="280" t="s">
        <v>522</v>
      </c>
      <c r="W224" s="280"/>
      <c r="X224" s="280"/>
    </row>
    <row r="225" customFormat="false" ht="64.9" hidden="false" customHeight="false" outlineLevel="0" collapsed="false">
      <c r="A225" s="280" t="s">
        <v>292</v>
      </c>
      <c r="B225" s="280" t="s">
        <v>1324</v>
      </c>
      <c r="C225" s="280" t="n">
        <v>0</v>
      </c>
      <c r="D225" s="280" t="n">
        <v>0</v>
      </c>
      <c r="E225" s="280" t="n">
        <v>0</v>
      </c>
      <c r="F225" s="280" t="n">
        <v>0</v>
      </c>
      <c r="G225" s="280" t="n">
        <v>0</v>
      </c>
      <c r="H225" s="280" t="n">
        <v>1</v>
      </c>
      <c r="I225" s="280" t="n">
        <v>0</v>
      </c>
      <c r="J225" s="280" t="n">
        <v>1</v>
      </c>
      <c r="K225" s="280"/>
      <c r="L225" s="280" t="s">
        <v>707</v>
      </c>
      <c r="M225" s="280" t="s">
        <v>522</v>
      </c>
      <c r="N225" s="280" t="s">
        <v>1312</v>
      </c>
      <c r="O225" s="280" t="s">
        <v>1313</v>
      </c>
      <c r="P225" s="280" t="s">
        <v>1313</v>
      </c>
      <c r="Q225" s="280" t="s">
        <v>1313</v>
      </c>
      <c r="R225" s="280"/>
      <c r="S225" s="280" t="s">
        <v>1314</v>
      </c>
      <c r="T225" s="280" t="s">
        <v>1315</v>
      </c>
      <c r="U225" s="280" t="s">
        <v>520</v>
      </c>
      <c r="V225" s="280" t="s">
        <v>522</v>
      </c>
      <c r="W225" s="280"/>
      <c r="X225" s="280"/>
    </row>
    <row r="226" customFormat="false" ht="64.9" hidden="false" customHeight="false" outlineLevel="0" collapsed="false">
      <c r="A226" s="280" t="s">
        <v>293</v>
      </c>
      <c r="B226" s="280" t="s">
        <v>1325</v>
      </c>
      <c r="C226" s="280" t="n">
        <v>0</v>
      </c>
      <c r="D226" s="280" t="n">
        <v>0</v>
      </c>
      <c r="E226" s="280" t="n">
        <v>0</v>
      </c>
      <c r="F226" s="280" t="n">
        <v>0</v>
      </c>
      <c r="G226" s="280" t="n">
        <v>0</v>
      </c>
      <c r="H226" s="280" t="n">
        <v>1</v>
      </c>
      <c r="I226" s="280" t="n">
        <v>0</v>
      </c>
      <c r="J226" s="280" t="n">
        <v>1</v>
      </c>
      <c r="K226" s="280"/>
      <c r="L226" s="280" t="s">
        <v>707</v>
      </c>
      <c r="M226" s="280" t="s">
        <v>522</v>
      </c>
      <c r="N226" s="280" t="s">
        <v>1312</v>
      </c>
      <c r="O226" s="280" t="s">
        <v>1313</v>
      </c>
      <c r="P226" s="280" t="s">
        <v>1313</v>
      </c>
      <c r="Q226" s="280" t="s">
        <v>1313</v>
      </c>
      <c r="R226" s="280"/>
      <c r="S226" s="280" t="s">
        <v>1314</v>
      </c>
      <c r="T226" s="280" t="s">
        <v>1315</v>
      </c>
      <c r="U226" s="280" t="s">
        <v>31</v>
      </c>
      <c r="V226" s="280" t="s">
        <v>522</v>
      </c>
      <c r="W226" s="280" t="s">
        <v>547</v>
      </c>
      <c r="X226" s="280" t="n">
        <f aca="false">IF($W226="Critical Importance",20,IF($W226="Minor Importance",5,10))</f>
        <v>5</v>
      </c>
    </row>
    <row r="227" customFormat="false" ht="64.9" hidden="false" customHeight="false" outlineLevel="0" collapsed="false">
      <c r="A227" s="280" t="s">
        <v>294</v>
      </c>
      <c r="B227" s="280" t="s">
        <v>1326</v>
      </c>
      <c r="C227" s="280" t="n">
        <v>0</v>
      </c>
      <c r="D227" s="280" t="n">
        <v>0</v>
      </c>
      <c r="E227" s="280" t="n">
        <v>0</v>
      </c>
      <c r="F227" s="280" t="n">
        <v>0</v>
      </c>
      <c r="G227" s="280" t="n">
        <v>0</v>
      </c>
      <c r="H227" s="280" t="n">
        <v>1</v>
      </c>
      <c r="I227" s="280" t="n">
        <v>0</v>
      </c>
      <c r="J227" s="280" t="n">
        <v>1</v>
      </c>
      <c r="K227" s="280"/>
      <c r="L227" s="280" t="s">
        <v>520</v>
      </c>
      <c r="M227" s="280" t="s">
        <v>522</v>
      </c>
      <c r="N227" s="280" t="s">
        <v>1312</v>
      </c>
      <c r="O227" s="280" t="s">
        <v>1313</v>
      </c>
      <c r="P227" s="280" t="s">
        <v>1313</v>
      </c>
      <c r="Q227" s="280" t="s">
        <v>1313</v>
      </c>
      <c r="R227" s="280"/>
      <c r="S227" s="280" t="s">
        <v>1314</v>
      </c>
      <c r="T227" s="280" t="s">
        <v>1315</v>
      </c>
      <c r="U227" s="280" t="s">
        <v>520</v>
      </c>
      <c r="V227" s="280" t="s">
        <v>522</v>
      </c>
      <c r="W227" s="280"/>
      <c r="X227" s="280"/>
    </row>
    <row r="228" customFormat="false" ht="235.5" hidden="false" customHeight="true" outlineLevel="0" collapsed="false">
      <c r="A228" s="282" t="s">
        <v>295</v>
      </c>
      <c r="B228" s="280" t="s">
        <v>1327</v>
      </c>
      <c r="C228" s="280" t="n">
        <v>0</v>
      </c>
      <c r="D228" s="280" t="n">
        <v>0</v>
      </c>
      <c r="E228" s="280" t="n">
        <v>0</v>
      </c>
      <c r="F228" s="280" t="n">
        <v>0</v>
      </c>
      <c r="G228" s="280" t="n">
        <v>0</v>
      </c>
      <c r="H228" s="280" t="n">
        <v>1</v>
      </c>
      <c r="I228" s="280" t="n">
        <v>0</v>
      </c>
      <c r="J228" s="280" t="n">
        <v>0</v>
      </c>
      <c r="K228" s="280"/>
      <c r="L228" s="280" t="s">
        <v>707</v>
      </c>
      <c r="M228" s="280"/>
      <c r="N228" s="280" t="s">
        <v>1328</v>
      </c>
      <c r="O228" s="280"/>
      <c r="P228" s="280" t="s">
        <v>1329</v>
      </c>
      <c r="Q228" s="280" t="s">
        <v>1330</v>
      </c>
      <c r="R228" s="280"/>
      <c r="S228" s="280" t="s">
        <v>1331</v>
      </c>
      <c r="T228" s="280" t="s">
        <v>1332</v>
      </c>
      <c r="U228" s="280" t="s">
        <v>31</v>
      </c>
      <c r="V228" s="280"/>
      <c r="W228" s="280" t="s">
        <v>594</v>
      </c>
      <c r="X228" s="280" t="n">
        <f aca="false">IF($W228="Critical Importance",20,IF($W228="Minor Importance",5,10))</f>
        <v>10</v>
      </c>
    </row>
    <row r="229" customFormat="false" ht="231" hidden="false" customHeight="true" outlineLevel="0" collapsed="false">
      <c r="A229" s="282" t="s">
        <v>296</v>
      </c>
      <c r="B229" s="280" t="s">
        <v>1333</v>
      </c>
      <c r="C229" s="280" t="n">
        <v>0</v>
      </c>
      <c r="D229" s="280" t="n">
        <v>0</v>
      </c>
      <c r="E229" s="280" t="n">
        <v>0</v>
      </c>
      <c r="F229" s="280" t="n">
        <v>0</v>
      </c>
      <c r="G229" s="280" t="n">
        <v>0</v>
      </c>
      <c r="H229" s="280" t="n">
        <v>1</v>
      </c>
      <c r="I229" s="280" t="n">
        <v>0</v>
      </c>
      <c r="J229" s="280" t="n">
        <v>0</v>
      </c>
      <c r="K229" s="280"/>
      <c r="L229" s="280" t="s">
        <v>707</v>
      </c>
      <c r="M229" s="280"/>
      <c r="N229" s="280" t="s">
        <v>1328</v>
      </c>
      <c r="O229" s="280"/>
      <c r="P229" s="280"/>
      <c r="Q229" s="280" t="s">
        <v>1334</v>
      </c>
      <c r="R229" s="280"/>
      <c r="S229" s="280" t="s">
        <v>1335</v>
      </c>
      <c r="T229" s="280" t="s">
        <v>1336</v>
      </c>
      <c r="U229" s="280" t="s">
        <v>26</v>
      </c>
      <c r="V229" s="280"/>
      <c r="W229" s="280" t="s">
        <v>594</v>
      </c>
      <c r="X229" s="280" t="n">
        <f aca="false">IF($W229="Critical Importance",20,IF($W229="Minor Importance",5,10))</f>
        <v>10</v>
      </c>
    </row>
    <row r="230" customFormat="false" ht="217.15" hidden="false" customHeight="false" outlineLevel="0" collapsed="false">
      <c r="A230" s="282" t="s">
        <v>297</v>
      </c>
      <c r="B230" s="280" t="s">
        <v>1337</v>
      </c>
      <c r="C230" s="280" t="n">
        <v>0</v>
      </c>
      <c r="D230" s="280" t="n">
        <v>0</v>
      </c>
      <c r="E230" s="280" t="n">
        <v>0</v>
      </c>
      <c r="F230" s="280" t="n">
        <v>0</v>
      </c>
      <c r="G230" s="280" t="n">
        <v>0</v>
      </c>
      <c r="H230" s="280" t="n">
        <v>1</v>
      </c>
      <c r="I230" s="280" t="n">
        <v>0</v>
      </c>
      <c r="J230" s="280" t="n">
        <v>0</v>
      </c>
      <c r="K230" s="280"/>
      <c r="L230" s="280" t="s">
        <v>707</v>
      </c>
      <c r="M230" s="280"/>
      <c r="N230" s="280" t="s">
        <v>1328</v>
      </c>
      <c r="O230" s="280"/>
      <c r="P230" s="280" t="s">
        <v>1338</v>
      </c>
      <c r="Q230" s="280" t="s">
        <v>1339</v>
      </c>
      <c r="R230" s="280"/>
      <c r="S230" s="280" t="s">
        <v>1340</v>
      </c>
      <c r="T230" s="280" t="s">
        <v>1341</v>
      </c>
      <c r="U230" s="280" t="s">
        <v>31</v>
      </c>
      <c r="V230" s="280"/>
      <c r="W230" s="280" t="s">
        <v>594</v>
      </c>
      <c r="X230" s="280" t="n">
        <f aca="false">IF($W230="Critical Importance",20,IF($W230="Minor Importance",5,10))</f>
        <v>10</v>
      </c>
    </row>
    <row r="231" customFormat="false" ht="228.75" hidden="false" customHeight="true" outlineLevel="0" collapsed="false">
      <c r="A231" s="282" t="s">
        <v>298</v>
      </c>
      <c r="B231" s="280" t="s">
        <v>1342</v>
      </c>
      <c r="C231" s="280" t="n">
        <v>0</v>
      </c>
      <c r="D231" s="280" t="n">
        <v>0</v>
      </c>
      <c r="E231" s="280" t="n">
        <v>0</v>
      </c>
      <c r="F231" s="280" t="n">
        <v>0</v>
      </c>
      <c r="G231" s="280" t="n">
        <v>0</v>
      </c>
      <c r="H231" s="280" t="n">
        <v>1</v>
      </c>
      <c r="I231" s="280" t="n">
        <v>0</v>
      </c>
      <c r="J231" s="280" t="n">
        <v>0</v>
      </c>
      <c r="K231" s="280"/>
      <c r="L231" s="280" t="s">
        <v>707</v>
      </c>
      <c r="M231" s="280"/>
      <c r="N231" s="280" t="s">
        <v>1328</v>
      </c>
      <c r="O231" s="280"/>
      <c r="P231" s="280"/>
      <c r="Q231" s="280" t="s">
        <v>1334</v>
      </c>
      <c r="R231" s="280"/>
      <c r="S231" s="280" t="s">
        <v>1343</v>
      </c>
      <c r="T231" s="280" t="s">
        <v>1336</v>
      </c>
      <c r="U231" s="280" t="s">
        <v>26</v>
      </c>
      <c r="V231" s="280"/>
      <c r="W231" s="280" t="s">
        <v>594</v>
      </c>
      <c r="X231" s="280" t="n">
        <f aca="false">IF($W231="Critical Importance",20,IF($W231="Minor Importance",5,10))</f>
        <v>10</v>
      </c>
    </row>
    <row r="232" customFormat="false" ht="214.5" hidden="false" customHeight="true" outlineLevel="0" collapsed="false">
      <c r="A232" s="282" t="s">
        <v>299</v>
      </c>
      <c r="B232" s="280" t="s">
        <v>1344</v>
      </c>
      <c r="C232" s="280" t="n">
        <v>0</v>
      </c>
      <c r="D232" s="280" t="n">
        <v>0</v>
      </c>
      <c r="E232" s="280" t="n">
        <v>0</v>
      </c>
      <c r="F232" s="280" t="n">
        <v>0</v>
      </c>
      <c r="G232" s="280" t="n">
        <v>0</v>
      </c>
      <c r="H232" s="280" t="n">
        <v>1</v>
      </c>
      <c r="I232" s="280" t="n">
        <v>0</v>
      </c>
      <c r="J232" s="280" t="n">
        <v>0</v>
      </c>
      <c r="K232" s="280"/>
      <c r="L232" s="280" t="s">
        <v>707</v>
      </c>
      <c r="M232" s="280"/>
      <c r="N232" s="280" t="s">
        <v>1328</v>
      </c>
      <c r="O232" s="280"/>
      <c r="P232" s="280"/>
      <c r="Q232" s="280" t="s">
        <v>1345</v>
      </c>
      <c r="R232" s="280" t="s">
        <v>712</v>
      </c>
      <c r="S232" s="280" t="s">
        <v>1346</v>
      </c>
      <c r="T232" s="280" t="s">
        <v>1347</v>
      </c>
      <c r="U232" s="280" t="s">
        <v>31</v>
      </c>
      <c r="V232" s="280"/>
      <c r="W232" s="280" t="s">
        <v>594</v>
      </c>
      <c r="X232" s="280" t="n">
        <f aca="false">IF($W232="Critical Importance",20,IF($W232="Minor Importance",5,10))</f>
        <v>10</v>
      </c>
    </row>
    <row r="233" customFormat="false" ht="90" hidden="false" customHeight="true" outlineLevel="0" collapsed="false">
      <c r="A233" s="282" t="s">
        <v>300</v>
      </c>
      <c r="B233" s="280" t="s">
        <v>1348</v>
      </c>
      <c r="C233" s="280" t="n">
        <v>0</v>
      </c>
      <c r="D233" s="280" t="n">
        <v>0</v>
      </c>
      <c r="E233" s="280" t="n">
        <v>0</v>
      </c>
      <c r="F233" s="280" t="n">
        <v>0</v>
      </c>
      <c r="G233" s="280" t="n">
        <v>0</v>
      </c>
      <c r="H233" s="280" t="n">
        <v>1</v>
      </c>
      <c r="I233" s="280" t="n">
        <v>0</v>
      </c>
      <c r="J233" s="280" t="n">
        <v>0</v>
      </c>
      <c r="K233" s="280"/>
      <c r="L233" s="280" t="s">
        <v>707</v>
      </c>
      <c r="M233" s="280"/>
      <c r="N233" s="280" t="s">
        <v>1328</v>
      </c>
      <c r="O233" s="280"/>
      <c r="P233" s="280" t="s">
        <v>1349</v>
      </c>
      <c r="Q233" s="280" t="s">
        <v>1350</v>
      </c>
      <c r="R233" s="280"/>
      <c r="S233" s="280" t="s">
        <v>1351</v>
      </c>
      <c r="T233" s="280" t="s">
        <v>1352</v>
      </c>
      <c r="U233" s="280" t="s">
        <v>31</v>
      </c>
      <c r="V233" s="280"/>
      <c r="W233" s="280" t="s">
        <v>594</v>
      </c>
      <c r="X233" s="280" t="n">
        <f aca="false">IF($W233="Critical Importance",20,IF($W233="Minor Importance",5,10))</f>
        <v>10</v>
      </c>
    </row>
    <row r="234" customFormat="false" ht="141" hidden="false" customHeight="false" outlineLevel="0" collapsed="false">
      <c r="A234" s="282" t="s">
        <v>301</v>
      </c>
      <c r="B234" s="280" t="s">
        <v>1353</v>
      </c>
      <c r="C234" s="280" t="n">
        <v>0</v>
      </c>
      <c r="D234" s="280" t="n">
        <v>0</v>
      </c>
      <c r="E234" s="280" t="n">
        <v>0</v>
      </c>
      <c r="F234" s="280" t="n">
        <v>0</v>
      </c>
      <c r="G234" s="280" t="n">
        <v>0</v>
      </c>
      <c r="H234" s="280" t="n">
        <v>1</v>
      </c>
      <c r="I234" s="280" t="n">
        <v>0</v>
      </c>
      <c r="J234" s="280" t="n">
        <v>0</v>
      </c>
      <c r="K234" s="280"/>
      <c r="L234" s="280" t="s">
        <v>707</v>
      </c>
      <c r="M234" s="280"/>
      <c r="N234" s="280" t="s">
        <v>1328</v>
      </c>
      <c r="O234" s="280"/>
      <c r="P234" s="280" t="s">
        <v>1354</v>
      </c>
      <c r="Q234" s="280" t="s">
        <v>1355</v>
      </c>
      <c r="R234" s="280"/>
      <c r="S234" s="280" t="s">
        <v>1356</v>
      </c>
      <c r="T234" s="280" t="s">
        <v>1357</v>
      </c>
      <c r="U234" s="280" t="s">
        <v>31</v>
      </c>
      <c r="V234" s="280"/>
      <c r="W234" s="280" t="s">
        <v>594</v>
      </c>
      <c r="X234" s="280" t="n">
        <f aca="false">IF($W234="Critical Importance",20,IF($W234="Minor Importance",5,10))</f>
        <v>10</v>
      </c>
    </row>
    <row r="235" customFormat="false" ht="128.25" hidden="false" customHeight="false" outlineLevel="0" collapsed="false">
      <c r="A235" s="282" t="s">
        <v>302</v>
      </c>
      <c r="B235" s="280" t="s">
        <v>1358</v>
      </c>
      <c r="C235" s="280" t="n">
        <v>0</v>
      </c>
      <c r="D235" s="280" t="n">
        <v>0</v>
      </c>
      <c r="E235" s="280" t="n">
        <v>0</v>
      </c>
      <c r="F235" s="280" t="n">
        <v>0</v>
      </c>
      <c r="G235" s="280" t="n">
        <v>0</v>
      </c>
      <c r="H235" s="280" t="n">
        <v>1</v>
      </c>
      <c r="I235" s="280" t="n">
        <v>0</v>
      </c>
      <c r="J235" s="280" t="n">
        <v>0</v>
      </c>
      <c r="K235" s="280"/>
      <c r="L235" s="280" t="s">
        <v>520</v>
      </c>
      <c r="M235" s="280"/>
      <c r="N235" s="280" t="s">
        <v>1328</v>
      </c>
      <c r="O235" s="280" t="s">
        <v>1359</v>
      </c>
      <c r="P235" s="280" t="s">
        <v>1359</v>
      </c>
      <c r="Q235" s="280" t="s">
        <v>1359</v>
      </c>
      <c r="R235" s="280"/>
      <c r="S235" s="280" t="s">
        <v>1360</v>
      </c>
      <c r="T235" s="280" t="s">
        <v>1361</v>
      </c>
      <c r="U235" s="280" t="s">
        <v>520</v>
      </c>
      <c r="V235" s="280"/>
      <c r="W235" s="280"/>
      <c r="X235" s="280"/>
    </row>
    <row r="236" customFormat="false" ht="153.7" hidden="false" customHeight="false" outlineLevel="0" collapsed="false">
      <c r="A236" s="282" t="s">
        <v>303</v>
      </c>
      <c r="B236" s="280" t="s">
        <v>1362</v>
      </c>
      <c r="C236" s="280" t="n">
        <v>0</v>
      </c>
      <c r="D236" s="280" t="n">
        <v>0</v>
      </c>
      <c r="E236" s="280" t="n">
        <v>0</v>
      </c>
      <c r="F236" s="280" t="n">
        <v>0</v>
      </c>
      <c r="G236" s="280" t="n">
        <v>0</v>
      </c>
      <c r="H236" s="280" t="n">
        <v>1</v>
      </c>
      <c r="I236" s="280" t="n">
        <v>0</v>
      </c>
      <c r="J236" s="280" t="n">
        <v>0</v>
      </c>
      <c r="K236" s="280"/>
      <c r="L236" s="280" t="s">
        <v>520</v>
      </c>
      <c r="M236" s="280"/>
      <c r="N236" s="280" t="s">
        <v>1328</v>
      </c>
      <c r="O236" s="280" t="s">
        <v>1363</v>
      </c>
      <c r="P236" s="280" t="s">
        <v>1363</v>
      </c>
      <c r="Q236" s="280" t="s">
        <v>1363</v>
      </c>
      <c r="R236" s="280"/>
      <c r="S236" s="280" t="s">
        <v>1364</v>
      </c>
      <c r="T236" s="280" t="s">
        <v>1365</v>
      </c>
      <c r="U236" s="280" t="s">
        <v>520</v>
      </c>
      <c r="V236" s="280"/>
      <c r="W236" s="280"/>
      <c r="X236" s="280"/>
    </row>
    <row r="237" customFormat="false" ht="204.45" hidden="false" customHeight="false" outlineLevel="0" collapsed="false">
      <c r="A237" s="282" t="s">
        <v>304</v>
      </c>
      <c r="B237" s="280" t="s">
        <v>1366</v>
      </c>
      <c r="C237" s="280" t="n">
        <v>0</v>
      </c>
      <c r="D237" s="280" t="n">
        <v>0</v>
      </c>
      <c r="E237" s="280" t="n">
        <v>0</v>
      </c>
      <c r="F237" s="280" t="n">
        <v>0</v>
      </c>
      <c r="G237" s="280" t="n">
        <v>0</v>
      </c>
      <c r="H237" s="280" t="n">
        <v>1</v>
      </c>
      <c r="I237" s="280" t="n">
        <v>0</v>
      </c>
      <c r="J237" s="280" t="n">
        <v>0</v>
      </c>
      <c r="K237" s="280"/>
      <c r="L237" s="280" t="s">
        <v>707</v>
      </c>
      <c r="M237" s="280"/>
      <c r="N237" s="280" t="s">
        <v>1328</v>
      </c>
      <c r="O237" s="280"/>
      <c r="P237" s="280" t="s">
        <v>1367</v>
      </c>
      <c r="Q237" s="280" t="s">
        <v>1368</v>
      </c>
      <c r="R237" s="280"/>
      <c r="S237" s="280" t="s">
        <v>1369</v>
      </c>
      <c r="T237" s="280" t="s">
        <v>1370</v>
      </c>
      <c r="U237" s="280" t="s">
        <v>31</v>
      </c>
      <c r="V237" s="280"/>
      <c r="W237" s="280" t="s">
        <v>547</v>
      </c>
      <c r="X237" s="280" t="n">
        <f aca="false">IF($W237="Critical Importance",20,IF($W237="Minor Importance",5,10))</f>
        <v>5</v>
      </c>
    </row>
    <row r="238" customFormat="false" ht="102.95" hidden="false" customHeight="false" outlineLevel="0" collapsed="false">
      <c r="A238" s="281" t="s">
        <v>340</v>
      </c>
      <c r="B238" s="281" t="s">
        <v>1371</v>
      </c>
      <c r="C238" s="284" t="n">
        <v>0</v>
      </c>
      <c r="D238" s="284" t="n">
        <v>0</v>
      </c>
      <c r="E238" s="284" t="n">
        <v>0</v>
      </c>
      <c r="F238" s="284" t="n">
        <v>0</v>
      </c>
      <c r="G238" s="284" t="n">
        <v>0</v>
      </c>
      <c r="H238" s="284" t="n">
        <v>0</v>
      </c>
      <c r="I238" s="284" t="n">
        <v>0</v>
      </c>
      <c r="J238" s="284" t="n">
        <v>1</v>
      </c>
      <c r="K238" s="281" t="s">
        <v>16</v>
      </c>
      <c r="L238" s="281" t="s">
        <v>520</v>
      </c>
      <c r="M238" s="285"/>
      <c r="N238" s="285"/>
      <c r="O238" s="281" t="s">
        <v>1372</v>
      </c>
      <c r="P238" s="281" t="s">
        <v>1372</v>
      </c>
      <c r="Q238" s="281" t="s">
        <v>1373</v>
      </c>
      <c r="R238" s="285"/>
      <c r="S238" s="281" t="s">
        <v>1374</v>
      </c>
      <c r="T238" s="281" t="s">
        <v>1375</v>
      </c>
      <c r="U238" s="285"/>
      <c r="V238" s="285"/>
      <c r="W238" s="285"/>
      <c r="X238" s="284" t="n">
        <v>10</v>
      </c>
    </row>
    <row r="239" customFormat="false" ht="179.1" hidden="false" customHeight="false" outlineLevel="0" collapsed="false">
      <c r="A239" s="281" t="s">
        <v>341</v>
      </c>
      <c r="B239" s="281" t="s">
        <v>1376</v>
      </c>
      <c r="C239" s="284" t="n">
        <v>0</v>
      </c>
      <c r="D239" s="284" t="n">
        <v>0</v>
      </c>
      <c r="E239" s="284" t="n">
        <v>0</v>
      </c>
      <c r="F239" s="284" t="n">
        <v>0</v>
      </c>
      <c r="G239" s="284" t="n">
        <v>0</v>
      </c>
      <c r="H239" s="284" t="n">
        <v>0</v>
      </c>
      <c r="I239" s="284" t="n">
        <v>0</v>
      </c>
      <c r="J239" s="284" t="n">
        <v>1</v>
      </c>
      <c r="K239" s="281" t="s">
        <v>16</v>
      </c>
      <c r="L239" s="281" t="s">
        <v>520</v>
      </c>
      <c r="M239" s="285"/>
      <c r="N239" s="285"/>
      <c r="O239" s="281" t="s">
        <v>1377</v>
      </c>
      <c r="P239" s="281" t="s">
        <v>1377</v>
      </c>
      <c r="Q239" s="281" t="s">
        <v>1378</v>
      </c>
      <c r="R239" s="285"/>
      <c r="S239" s="281" t="s">
        <v>1374</v>
      </c>
      <c r="T239" s="285"/>
      <c r="U239" s="285"/>
      <c r="V239" s="285"/>
      <c r="W239" s="285"/>
      <c r="X239" s="284" t="n">
        <v>10</v>
      </c>
    </row>
    <row r="240" customFormat="false" ht="77.6" hidden="false" customHeight="false" outlineLevel="0" collapsed="false">
      <c r="A240" s="281" t="s">
        <v>343</v>
      </c>
      <c r="B240" s="281" t="s">
        <v>1379</v>
      </c>
      <c r="C240" s="284" t="n">
        <v>0</v>
      </c>
      <c r="D240" s="284" t="n">
        <v>0</v>
      </c>
      <c r="E240" s="284" t="n">
        <v>0</v>
      </c>
      <c r="F240" s="284" t="n">
        <v>0</v>
      </c>
      <c r="G240" s="284" t="n">
        <v>0</v>
      </c>
      <c r="H240" s="284" t="n">
        <v>0</v>
      </c>
      <c r="I240" s="284" t="n">
        <v>0</v>
      </c>
      <c r="J240" s="284" t="n">
        <v>1</v>
      </c>
      <c r="K240" s="281" t="s">
        <v>16</v>
      </c>
      <c r="L240" s="281" t="s">
        <v>520</v>
      </c>
      <c r="M240" s="285"/>
      <c r="N240" s="285"/>
      <c r="O240" s="285"/>
      <c r="P240" s="285"/>
      <c r="Q240" s="281" t="s">
        <v>1380</v>
      </c>
      <c r="R240" s="285"/>
      <c r="S240" s="281" t="s">
        <v>1374</v>
      </c>
      <c r="T240" s="285"/>
      <c r="U240" s="285"/>
      <c r="V240" s="285"/>
      <c r="W240" s="285"/>
      <c r="X240" s="284" t="n">
        <v>10</v>
      </c>
    </row>
    <row r="241" customFormat="false" ht="77.6" hidden="false" customHeight="false" outlineLevel="0" collapsed="false">
      <c r="A241" s="281" t="s">
        <v>344</v>
      </c>
      <c r="B241" s="281" t="s">
        <v>1381</v>
      </c>
      <c r="C241" s="284" t="n">
        <v>0</v>
      </c>
      <c r="D241" s="284" t="n">
        <v>0</v>
      </c>
      <c r="E241" s="284" t="n">
        <v>0</v>
      </c>
      <c r="F241" s="284" t="n">
        <v>0</v>
      </c>
      <c r="G241" s="284" t="n">
        <v>0</v>
      </c>
      <c r="H241" s="284" t="n">
        <v>0</v>
      </c>
      <c r="I241" s="284" t="n">
        <v>0</v>
      </c>
      <c r="J241" s="284" t="n">
        <v>1</v>
      </c>
      <c r="K241" s="281" t="s">
        <v>16</v>
      </c>
      <c r="L241" s="281" t="s">
        <v>520</v>
      </c>
      <c r="M241" s="285"/>
      <c r="N241" s="285"/>
      <c r="O241" s="285"/>
      <c r="P241" s="285"/>
      <c r="Q241" s="281" t="s">
        <v>1382</v>
      </c>
      <c r="R241" s="285"/>
      <c r="S241" s="281" t="s">
        <v>1374</v>
      </c>
      <c r="T241" s="285"/>
      <c r="U241" s="285"/>
      <c r="V241" s="285"/>
      <c r="W241" s="285"/>
      <c r="X241" s="284" t="n">
        <v>10</v>
      </c>
    </row>
    <row r="242" customFormat="false" ht="90.25" hidden="false" customHeight="false" outlineLevel="0" collapsed="false">
      <c r="A242" s="281" t="s">
        <v>346</v>
      </c>
      <c r="B242" s="281" t="s">
        <v>1383</v>
      </c>
      <c r="C242" s="284" t="n">
        <v>0</v>
      </c>
      <c r="D242" s="284" t="n">
        <v>0</v>
      </c>
      <c r="E242" s="284" t="n">
        <v>0</v>
      </c>
      <c r="F242" s="284" t="n">
        <v>0</v>
      </c>
      <c r="G242" s="284" t="n">
        <v>0</v>
      </c>
      <c r="H242" s="284" t="n">
        <v>0</v>
      </c>
      <c r="I242" s="284" t="n">
        <v>0</v>
      </c>
      <c r="J242" s="284" t="n">
        <v>1</v>
      </c>
      <c r="K242" s="281" t="s">
        <v>1384</v>
      </c>
      <c r="L242" s="281" t="s">
        <v>505</v>
      </c>
      <c r="M242" s="285"/>
      <c r="N242" s="285"/>
      <c r="O242" s="281" t="s">
        <v>1385</v>
      </c>
      <c r="P242" s="281" t="s">
        <v>1385</v>
      </c>
      <c r="Q242" s="281" t="s">
        <v>1385</v>
      </c>
      <c r="R242" s="285"/>
      <c r="S242" s="285"/>
      <c r="T242" s="285"/>
      <c r="U242" s="286" t="s">
        <v>520</v>
      </c>
      <c r="V242" s="285"/>
      <c r="W242" s="281"/>
      <c r="X242" s="284"/>
    </row>
    <row r="243" customFormat="false" ht="90.25" hidden="false" customHeight="false" outlineLevel="0" collapsed="false">
      <c r="A243" s="281" t="s">
        <v>347</v>
      </c>
      <c r="B243" s="281" t="s">
        <v>1386</v>
      </c>
      <c r="C243" s="284" t="n">
        <v>0</v>
      </c>
      <c r="D243" s="284" t="n">
        <v>0</v>
      </c>
      <c r="E243" s="284" t="n">
        <v>0</v>
      </c>
      <c r="F243" s="284" t="n">
        <v>0</v>
      </c>
      <c r="G243" s="284" t="n">
        <v>0</v>
      </c>
      <c r="H243" s="284" t="n">
        <v>0</v>
      </c>
      <c r="I243" s="284" t="n">
        <v>0</v>
      </c>
      <c r="J243" s="284" t="n">
        <v>1</v>
      </c>
      <c r="K243" s="285"/>
      <c r="L243" s="281" t="s">
        <v>505</v>
      </c>
      <c r="M243" s="285"/>
      <c r="N243" s="285"/>
      <c r="O243" s="285"/>
      <c r="P243" s="285"/>
      <c r="Q243" s="281" t="s">
        <v>1387</v>
      </c>
      <c r="R243" s="285"/>
      <c r="S243" s="281" t="s">
        <v>1388</v>
      </c>
      <c r="T243" s="285"/>
      <c r="U243" s="281" t="s">
        <v>26</v>
      </c>
      <c r="V243" s="285"/>
      <c r="W243" s="281" t="s">
        <v>538</v>
      </c>
      <c r="X243" s="284" t="n">
        <v>20</v>
      </c>
    </row>
    <row r="244" customFormat="false" ht="15.75" hidden="false" customHeight="true" outlineLevel="0" collapsed="false">
      <c r="A244" s="281" t="s">
        <v>348</v>
      </c>
      <c r="B244" s="281" t="s">
        <v>1389</v>
      </c>
      <c r="C244" s="284" t="n">
        <v>0</v>
      </c>
      <c r="D244" s="284" t="n">
        <v>0</v>
      </c>
      <c r="E244" s="284" t="n">
        <v>0</v>
      </c>
      <c r="F244" s="284" t="n">
        <v>0</v>
      </c>
      <c r="G244" s="284" t="n">
        <v>0</v>
      </c>
      <c r="H244" s="284" t="n">
        <v>0</v>
      </c>
      <c r="I244" s="284" t="n">
        <v>0</v>
      </c>
      <c r="J244" s="284" t="n">
        <v>1</v>
      </c>
      <c r="K244" s="281" t="s">
        <v>1384</v>
      </c>
      <c r="L244" s="281" t="s">
        <v>505</v>
      </c>
      <c r="M244" s="285"/>
      <c r="N244" s="285"/>
      <c r="O244" s="281" t="s">
        <v>1390</v>
      </c>
      <c r="P244" s="281" t="s">
        <v>1390</v>
      </c>
      <c r="Q244" s="281" t="s">
        <v>1390</v>
      </c>
      <c r="R244" s="285"/>
      <c r="S244" s="285"/>
      <c r="T244" s="285"/>
      <c r="U244" s="286" t="s">
        <v>520</v>
      </c>
      <c r="V244" s="285"/>
      <c r="W244" s="281"/>
      <c r="X244" s="284"/>
    </row>
    <row r="245" customFormat="false" ht="90.25" hidden="false" customHeight="false" outlineLevel="0" collapsed="false">
      <c r="A245" s="281" t="s">
        <v>350</v>
      </c>
      <c r="B245" s="281" t="s">
        <v>1391</v>
      </c>
      <c r="C245" s="284" t="n">
        <v>0</v>
      </c>
      <c r="D245" s="284" t="n">
        <v>0</v>
      </c>
      <c r="E245" s="284" t="n">
        <v>0</v>
      </c>
      <c r="F245" s="284" t="n">
        <v>0</v>
      </c>
      <c r="G245" s="284" t="n">
        <v>0</v>
      </c>
      <c r="H245" s="284" t="n">
        <v>0</v>
      </c>
      <c r="I245" s="284" t="n">
        <v>0</v>
      </c>
      <c r="J245" s="284" t="n">
        <v>1</v>
      </c>
      <c r="K245" s="285"/>
      <c r="L245" s="281" t="s">
        <v>505</v>
      </c>
      <c r="M245" s="285"/>
      <c r="N245" s="285"/>
      <c r="O245" s="285"/>
      <c r="P245" s="285"/>
      <c r="Q245" s="281" t="s">
        <v>1392</v>
      </c>
      <c r="R245" s="285"/>
      <c r="S245" s="281" t="s">
        <v>1393</v>
      </c>
      <c r="T245" s="285"/>
      <c r="U245" s="281" t="s">
        <v>26</v>
      </c>
      <c r="V245" s="285"/>
      <c r="W245" s="281" t="s">
        <v>547</v>
      </c>
      <c r="X245" s="284" t="n">
        <v>5</v>
      </c>
    </row>
    <row r="246" customFormat="false" ht="77.6" hidden="false" customHeight="false" outlineLevel="0" collapsed="false">
      <c r="A246" s="281" t="s">
        <v>351</v>
      </c>
      <c r="B246" s="281" t="s">
        <v>1394</v>
      </c>
      <c r="C246" s="284" t="n">
        <v>0</v>
      </c>
      <c r="D246" s="284" t="n">
        <v>0</v>
      </c>
      <c r="E246" s="284" t="n">
        <v>0</v>
      </c>
      <c r="F246" s="284" t="n">
        <v>0</v>
      </c>
      <c r="G246" s="284" t="n">
        <v>0</v>
      </c>
      <c r="H246" s="284" t="n">
        <v>0</v>
      </c>
      <c r="I246" s="284" t="n">
        <v>0</v>
      </c>
      <c r="J246" s="284" t="n">
        <v>1</v>
      </c>
      <c r="K246" s="285"/>
      <c r="L246" s="281" t="s">
        <v>505</v>
      </c>
      <c r="M246" s="285"/>
      <c r="N246" s="285"/>
      <c r="O246" s="281" t="s">
        <v>1395</v>
      </c>
      <c r="P246" s="281" t="s">
        <v>1396</v>
      </c>
      <c r="Q246" s="281" t="s">
        <v>1397</v>
      </c>
      <c r="R246" s="285"/>
      <c r="S246" s="281" t="s">
        <v>1398</v>
      </c>
      <c r="T246" s="285"/>
      <c r="U246" s="281" t="s">
        <v>31</v>
      </c>
      <c r="V246" s="285"/>
      <c r="W246" s="281" t="s">
        <v>547</v>
      </c>
      <c r="X246" s="284" t="n">
        <v>5</v>
      </c>
    </row>
    <row r="247" customFormat="false" ht="267.9" hidden="false" customHeight="false" outlineLevel="0" collapsed="false">
      <c r="A247" s="281" t="s">
        <v>352</v>
      </c>
      <c r="B247" s="281" t="s">
        <v>1399</v>
      </c>
      <c r="C247" s="284" t="n">
        <v>0</v>
      </c>
      <c r="D247" s="284" t="n">
        <v>0</v>
      </c>
      <c r="E247" s="284" t="n">
        <v>0</v>
      </c>
      <c r="F247" s="284" t="n">
        <v>0</v>
      </c>
      <c r="G247" s="284" t="n">
        <v>0</v>
      </c>
      <c r="H247" s="284" t="n">
        <v>0</v>
      </c>
      <c r="I247" s="284" t="n">
        <v>0</v>
      </c>
      <c r="J247" s="284" t="n">
        <v>1</v>
      </c>
      <c r="K247" s="281" t="s">
        <v>1384</v>
      </c>
      <c r="L247" s="281" t="s">
        <v>520</v>
      </c>
      <c r="M247" s="285"/>
      <c r="N247" s="285"/>
      <c r="O247" s="281" t="s">
        <v>1400</v>
      </c>
      <c r="P247" s="281" t="s">
        <v>1401</v>
      </c>
      <c r="Q247" s="281" t="s">
        <v>1402</v>
      </c>
      <c r="R247" s="281" t="s">
        <v>915</v>
      </c>
      <c r="S247" s="281" t="s">
        <v>1403</v>
      </c>
      <c r="T247" s="285"/>
      <c r="U247" s="281" t="s">
        <v>31</v>
      </c>
      <c r="V247" s="285"/>
      <c r="W247" s="285"/>
      <c r="X247" s="284" t="n">
        <v>10</v>
      </c>
    </row>
    <row r="248" customFormat="false" ht="179.1" hidden="false" customHeight="false" outlineLevel="0" collapsed="false">
      <c r="A248" s="281" t="s">
        <v>353</v>
      </c>
      <c r="B248" s="281" t="s">
        <v>1404</v>
      </c>
      <c r="C248" s="284" t="n">
        <v>0</v>
      </c>
      <c r="D248" s="284" t="n">
        <v>0</v>
      </c>
      <c r="E248" s="284" t="n">
        <v>0</v>
      </c>
      <c r="F248" s="284" t="n">
        <v>0</v>
      </c>
      <c r="G248" s="284" t="n">
        <v>0</v>
      </c>
      <c r="H248" s="284" t="n">
        <v>0</v>
      </c>
      <c r="I248" s="284" t="n">
        <v>0</v>
      </c>
      <c r="J248" s="284" t="n">
        <v>1</v>
      </c>
      <c r="K248" s="281" t="s">
        <v>1384</v>
      </c>
      <c r="L248" s="281" t="s">
        <v>520</v>
      </c>
      <c r="M248" s="285"/>
      <c r="N248" s="285"/>
      <c r="O248" s="281" t="s">
        <v>1405</v>
      </c>
      <c r="P248" s="281" t="s">
        <v>1406</v>
      </c>
      <c r="Q248" s="281" t="s">
        <v>1407</v>
      </c>
      <c r="R248" s="281" t="s">
        <v>915</v>
      </c>
      <c r="S248" s="281" t="s">
        <v>1408</v>
      </c>
      <c r="T248" s="281" t="s">
        <v>1409</v>
      </c>
      <c r="U248" s="281" t="s">
        <v>31</v>
      </c>
      <c r="V248" s="285"/>
      <c r="W248" s="285"/>
      <c r="X248" s="284" t="n">
        <v>10</v>
      </c>
    </row>
    <row r="249" customFormat="false" ht="280.55" hidden="false" customHeight="false" outlineLevel="0" collapsed="false">
      <c r="A249" s="281" t="s">
        <v>354</v>
      </c>
      <c r="B249" s="281" t="s">
        <v>1410</v>
      </c>
      <c r="C249" s="284" t="n">
        <v>0</v>
      </c>
      <c r="D249" s="284" t="n">
        <v>0</v>
      </c>
      <c r="E249" s="284" t="n">
        <v>0</v>
      </c>
      <c r="F249" s="284" t="n">
        <v>0</v>
      </c>
      <c r="G249" s="284" t="n">
        <v>0</v>
      </c>
      <c r="H249" s="284" t="n">
        <v>0</v>
      </c>
      <c r="I249" s="284" t="n">
        <v>0</v>
      </c>
      <c r="J249" s="284" t="n">
        <v>1</v>
      </c>
      <c r="K249" s="285"/>
      <c r="L249" s="281" t="s">
        <v>505</v>
      </c>
      <c r="M249" s="285"/>
      <c r="N249" s="285"/>
      <c r="O249" s="285"/>
      <c r="P249" s="281" t="s">
        <v>1411</v>
      </c>
      <c r="Q249" s="281" t="s">
        <v>1412</v>
      </c>
      <c r="R249" s="281" t="s">
        <v>915</v>
      </c>
      <c r="S249" s="281" t="s">
        <v>1413</v>
      </c>
      <c r="T249" s="281" t="s">
        <v>1414</v>
      </c>
      <c r="U249" s="281" t="s">
        <v>31</v>
      </c>
      <c r="V249" s="285"/>
      <c r="W249" s="281" t="s">
        <v>594</v>
      </c>
      <c r="X249" s="284" t="n">
        <v>10</v>
      </c>
    </row>
    <row r="250" customFormat="false" ht="166.4" hidden="false" customHeight="false" outlineLevel="0" collapsed="false">
      <c r="A250" s="281" t="s">
        <v>355</v>
      </c>
      <c r="B250" s="281" t="s">
        <v>1415</v>
      </c>
      <c r="C250" s="284" t="n">
        <v>0</v>
      </c>
      <c r="D250" s="284" t="n">
        <v>0</v>
      </c>
      <c r="E250" s="284" t="n">
        <v>0</v>
      </c>
      <c r="F250" s="284" t="n">
        <v>0</v>
      </c>
      <c r="G250" s="284" t="n">
        <v>0</v>
      </c>
      <c r="H250" s="284" t="n">
        <v>0</v>
      </c>
      <c r="I250" s="284" t="n">
        <v>0</v>
      </c>
      <c r="J250" s="284" t="n">
        <v>1</v>
      </c>
      <c r="K250" s="285"/>
      <c r="L250" s="281" t="s">
        <v>505</v>
      </c>
      <c r="M250" s="285"/>
      <c r="N250" s="285"/>
      <c r="O250" s="281" t="s">
        <v>1416</v>
      </c>
      <c r="P250" s="281" t="s">
        <v>1417</v>
      </c>
      <c r="Q250" s="281" t="s">
        <v>1418</v>
      </c>
      <c r="R250" s="281" t="s">
        <v>915</v>
      </c>
      <c r="S250" s="281" t="s">
        <v>1419</v>
      </c>
      <c r="T250" s="285"/>
      <c r="U250" s="281" t="s">
        <v>31</v>
      </c>
      <c r="V250" s="285"/>
      <c r="W250" s="281" t="s">
        <v>538</v>
      </c>
      <c r="X250" s="284" t="n">
        <v>20</v>
      </c>
    </row>
    <row r="251" customFormat="false" ht="305.95" hidden="false" customHeight="false" outlineLevel="0" collapsed="false">
      <c r="A251" s="281" t="s">
        <v>356</v>
      </c>
      <c r="B251" s="281" t="s">
        <v>1420</v>
      </c>
      <c r="C251" s="284" t="n">
        <v>0</v>
      </c>
      <c r="D251" s="284" t="n">
        <v>0</v>
      </c>
      <c r="E251" s="284" t="n">
        <v>0</v>
      </c>
      <c r="F251" s="284" t="n">
        <v>0</v>
      </c>
      <c r="G251" s="284" t="n">
        <v>0</v>
      </c>
      <c r="H251" s="284" t="n">
        <v>0</v>
      </c>
      <c r="I251" s="284" t="n">
        <v>0</v>
      </c>
      <c r="J251" s="284" t="n">
        <v>1</v>
      </c>
      <c r="K251" s="285"/>
      <c r="L251" s="281" t="s">
        <v>505</v>
      </c>
      <c r="M251" s="285"/>
      <c r="N251" s="285"/>
      <c r="O251" s="281" t="s">
        <v>1421</v>
      </c>
      <c r="P251" s="281" t="s">
        <v>1422</v>
      </c>
      <c r="Q251" s="281" t="s">
        <v>1423</v>
      </c>
      <c r="R251" s="281" t="s">
        <v>1424</v>
      </c>
      <c r="S251" s="281" t="s">
        <v>1425</v>
      </c>
      <c r="T251" s="281" t="s">
        <v>1426</v>
      </c>
      <c r="U251" s="281" t="s">
        <v>31</v>
      </c>
      <c r="V251" s="285"/>
      <c r="W251" s="281" t="s">
        <v>547</v>
      </c>
      <c r="X251" s="284" t="n">
        <v>5</v>
      </c>
    </row>
    <row r="252" customFormat="false" ht="77.6" hidden="false" customHeight="false" outlineLevel="0" collapsed="false">
      <c r="A252" s="281" t="s">
        <v>357</v>
      </c>
      <c r="B252" s="281" t="s">
        <v>1427</v>
      </c>
      <c r="C252" s="284" t="n">
        <v>0</v>
      </c>
      <c r="D252" s="284" t="n">
        <v>0</v>
      </c>
      <c r="E252" s="284" t="n">
        <v>0</v>
      </c>
      <c r="F252" s="284" t="n">
        <v>0</v>
      </c>
      <c r="G252" s="284" t="n">
        <v>0</v>
      </c>
      <c r="H252" s="284" t="n">
        <v>0</v>
      </c>
      <c r="I252" s="284" t="n">
        <v>0</v>
      </c>
      <c r="J252" s="284" t="n">
        <v>1</v>
      </c>
      <c r="K252" s="281" t="s">
        <v>1384</v>
      </c>
      <c r="L252" s="281" t="s">
        <v>505</v>
      </c>
      <c r="M252" s="285"/>
      <c r="N252" s="285"/>
      <c r="O252" s="281" t="s">
        <v>1428</v>
      </c>
      <c r="P252" s="281" t="s">
        <v>1079</v>
      </c>
      <c r="Q252" s="281" t="s">
        <v>1429</v>
      </c>
      <c r="R252" s="285"/>
      <c r="S252" s="281" t="s">
        <v>1430</v>
      </c>
      <c r="T252" s="281" t="s">
        <v>1431</v>
      </c>
      <c r="U252" s="281" t="s">
        <v>31</v>
      </c>
      <c r="V252" s="285"/>
      <c r="W252" s="285"/>
      <c r="X252" s="284" t="n">
        <v>10</v>
      </c>
    </row>
    <row r="253" customFormat="false" ht="64.9" hidden="false" customHeight="false" outlineLevel="0" collapsed="false">
      <c r="A253" s="281" t="s">
        <v>358</v>
      </c>
      <c r="B253" s="281" t="s">
        <v>1432</v>
      </c>
      <c r="C253" s="284" t="n">
        <v>0</v>
      </c>
      <c r="D253" s="284" t="n">
        <v>0</v>
      </c>
      <c r="E253" s="284" t="n">
        <v>0</v>
      </c>
      <c r="F253" s="284" t="n">
        <v>0</v>
      </c>
      <c r="G253" s="284" t="n">
        <v>0</v>
      </c>
      <c r="H253" s="284" t="n">
        <v>0</v>
      </c>
      <c r="I253" s="284" t="n">
        <v>0</v>
      </c>
      <c r="J253" s="284" t="n">
        <v>1</v>
      </c>
      <c r="K253" s="285"/>
      <c r="L253" s="281" t="s">
        <v>505</v>
      </c>
      <c r="M253" s="285"/>
      <c r="N253" s="285"/>
      <c r="O253" s="281" t="s">
        <v>1433</v>
      </c>
      <c r="P253" s="281" t="s">
        <v>1079</v>
      </c>
      <c r="Q253" s="281" t="s">
        <v>1434</v>
      </c>
      <c r="R253" s="285"/>
      <c r="S253" s="281" t="s">
        <v>1435</v>
      </c>
      <c r="T253" s="281" t="s">
        <v>1431</v>
      </c>
      <c r="U253" s="281" t="s">
        <v>31</v>
      </c>
      <c r="V253" s="285"/>
      <c r="W253" s="281" t="s">
        <v>547</v>
      </c>
      <c r="X253" s="284" t="n">
        <v>5</v>
      </c>
    </row>
    <row r="254" customFormat="false" ht="293.25" hidden="false" customHeight="false" outlineLevel="0" collapsed="false">
      <c r="A254" s="281" t="s">
        <v>359</v>
      </c>
      <c r="B254" s="281" t="s">
        <v>1436</v>
      </c>
      <c r="C254" s="284" t="n">
        <v>0</v>
      </c>
      <c r="D254" s="284" t="n">
        <v>0</v>
      </c>
      <c r="E254" s="284" t="n">
        <v>0</v>
      </c>
      <c r="F254" s="284" t="n">
        <v>0</v>
      </c>
      <c r="G254" s="284" t="n">
        <v>0</v>
      </c>
      <c r="H254" s="284" t="n">
        <v>0</v>
      </c>
      <c r="I254" s="284" t="n">
        <v>0</v>
      </c>
      <c r="J254" s="284" t="n">
        <v>1</v>
      </c>
      <c r="K254" s="281" t="s">
        <v>1384</v>
      </c>
      <c r="L254" s="281" t="s">
        <v>505</v>
      </c>
      <c r="M254" s="285"/>
      <c r="N254" s="285"/>
      <c r="O254" s="287" t="s">
        <v>1437</v>
      </c>
      <c r="P254" s="287" t="s">
        <v>1437</v>
      </c>
      <c r="Q254" s="281" t="s">
        <v>1438</v>
      </c>
      <c r="R254" s="285"/>
      <c r="S254" s="281" t="s">
        <v>1439</v>
      </c>
      <c r="T254" s="281" t="s">
        <v>1440</v>
      </c>
      <c r="U254" s="281" t="s">
        <v>26</v>
      </c>
      <c r="V254" s="285"/>
      <c r="W254" s="281" t="s">
        <v>538</v>
      </c>
      <c r="X254" s="284" t="n">
        <v>20</v>
      </c>
    </row>
    <row r="255" customFormat="false" ht="331.3" hidden="false" customHeight="false" outlineLevel="0" collapsed="false">
      <c r="A255" s="281" t="s">
        <v>360</v>
      </c>
      <c r="B255" s="281" t="s">
        <v>1441</v>
      </c>
      <c r="C255" s="284" t="n">
        <v>0</v>
      </c>
      <c r="D255" s="284" t="n">
        <v>0</v>
      </c>
      <c r="E255" s="284" t="n">
        <v>0</v>
      </c>
      <c r="F255" s="284" t="n">
        <v>0</v>
      </c>
      <c r="G255" s="284" t="n">
        <v>0</v>
      </c>
      <c r="H255" s="284" t="n">
        <v>0</v>
      </c>
      <c r="I255" s="284" t="n">
        <v>0</v>
      </c>
      <c r="J255" s="284" t="n">
        <v>1</v>
      </c>
      <c r="K255" s="281" t="s">
        <v>1384</v>
      </c>
      <c r="L255" s="281" t="s">
        <v>505</v>
      </c>
      <c r="M255" s="285"/>
      <c r="N255" s="285"/>
      <c r="O255" s="287" t="s">
        <v>1442</v>
      </c>
      <c r="P255" s="287" t="s">
        <v>1442</v>
      </c>
      <c r="Q255" s="281" t="s">
        <v>1443</v>
      </c>
      <c r="R255" s="285"/>
      <c r="S255" s="281" t="s">
        <v>1439</v>
      </c>
      <c r="T255" s="281" t="s">
        <v>1440</v>
      </c>
      <c r="U255" s="281" t="s">
        <v>26</v>
      </c>
      <c r="V255" s="285"/>
      <c r="W255" s="281" t="s">
        <v>538</v>
      </c>
      <c r="X255" s="284" t="n">
        <v>20</v>
      </c>
    </row>
    <row r="256" customFormat="false" ht="242.5" hidden="false" customHeight="false" outlineLevel="0" collapsed="false">
      <c r="A256" s="281" t="s">
        <v>361</v>
      </c>
      <c r="B256" s="281" t="s">
        <v>1444</v>
      </c>
      <c r="C256" s="284" t="n">
        <v>0</v>
      </c>
      <c r="D256" s="284" t="n">
        <v>0</v>
      </c>
      <c r="E256" s="284" t="n">
        <v>0</v>
      </c>
      <c r="F256" s="284" t="n">
        <v>0</v>
      </c>
      <c r="G256" s="284" t="n">
        <v>0</v>
      </c>
      <c r="H256" s="284" t="n">
        <v>0</v>
      </c>
      <c r="I256" s="284" t="n">
        <v>0</v>
      </c>
      <c r="J256" s="284" t="n">
        <v>1</v>
      </c>
      <c r="K256" s="281" t="s">
        <v>1384</v>
      </c>
      <c r="L256" s="281" t="s">
        <v>505</v>
      </c>
      <c r="M256" s="285"/>
      <c r="N256" s="285"/>
      <c r="O256" s="287" t="s">
        <v>1445</v>
      </c>
      <c r="P256" s="287" t="s">
        <v>1445</v>
      </c>
      <c r="Q256" s="281" t="s">
        <v>1446</v>
      </c>
      <c r="R256" s="285"/>
      <c r="S256" s="285"/>
      <c r="T256" s="285"/>
      <c r="U256" s="281" t="s">
        <v>26</v>
      </c>
      <c r="V256" s="285"/>
      <c r="W256" s="281" t="s">
        <v>538</v>
      </c>
      <c r="X256" s="284" t="n">
        <v>20</v>
      </c>
    </row>
    <row r="257" customFormat="false" ht="179.1" hidden="false" customHeight="false" outlineLevel="0" collapsed="false">
      <c r="A257" s="281" t="s">
        <v>362</v>
      </c>
      <c r="B257" s="281" t="s">
        <v>1447</v>
      </c>
      <c r="C257" s="284" t="n">
        <v>0</v>
      </c>
      <c r="D257" s="284" t="n">
        <v>0</v>
      </c>
      <c r="E257" s="284" t="n">
        <v>0</v>
      </c>
      <c r="F257" s="284" t="n">
        <v>0</v>
      </c>
      <c r="G257" s="284" t="n">
        <v>0</v>
      </c>
      <c r="H257" s="284" t="n">
        <v>0</v>
      </c>
      <c r="I257" s="284" t="n">
        <v>0</v>
      </c>
      <c r="J257" s="284" t="n">
        <v>1</v>
      </c>
      <c r="K257" s="285"/>
      <c r="L257" s="281" t="s">
        <v>505</v>
      </c>
      <c r="M257" s="285"/>
      <c r="N257" s="285"/>
      <c r="O257" s="287" t="s">
        <v>1448</v>
      </c>
      <c r="P257" s="287" t="s">
        <v>1448</v>
      </c>
      <c r="Q257" s="287" t="s">
        <v>1449</v>
      </c>
      <c r="R257" s="285"/>
      <c r="S257" s="285"/>
      <c r="T257" s="285"/>
      <c r="U257" s="281" t="s">
        <v>26</v>
      </c>
      <c r="V257" s="285"/>
      <c r="W257" s="281" t="s">
        <v>547</v>
      </c>
      <c r="X257" s="284" t="n">
        <v>5</v>
      </c>
    </row>
    <row r="258" customFormat="false" ht="128.25" hidden="false" customHeight="false" outlineLevel="0" collapsed="false">
      <c r="A258" s="281" t="s">
        <v>363</v>
      </c>
      <c r="B258" s="281" t="s">
        <v>1450</v>
      </c>
      <c r="C258" s="284" t="n">
        <v>0</v>
      </c>
      <c r="D258" s="284" t="n">
        <v>0</v>
      </c>
      <c r="E258" s="284" t="n">
        <v>0</v>
      </c>
      <c r="F258" s="284" t="n">
        <v>0</v>
      </c>
      <c r="G258" s="284" t="n">
        <v>0</v>
      </c>
      <c r="H258" s="284" t="n">
        <v>0</v>
      </c>
      <c r="I258" s="284" t="n">
        <v>0</v>
      </c>
      <c r="J258" s="284" t="n">
        <v>1</v>
      </c>
      <c r="K258" s="285"/>
      <c r="L258" s="281" t="s">
        <v>505</v>
      </c>
      <c r="M258" s="285"/>
      <c r="N258" s="285"/>
      <c r="O258" s="287" t="s">
        <v>1451</v>
      </c>
      <c r="P258" s="287" t="s">
        <v>1451</v>
      </c>
      <c r="Q258" s="281" t="s">
        <v>1452</v>
      </c>
      <c r="R258" s="285"/>
      <c r="S258" s="281" t="s">
        <v>1453</v>
      </c>
      <c r="T258" s="285"/>
      <c r="U258" s="281" t="s">
        <v>26</v>
      </c>
      <c r="V258" s="285"/>
      <c r="W258" s="281" t="s">
        <v>547</v>
      </c>
      <c r="X258" s="284" t="n">
        <v>5</v>
      </c>
    </row>
    <row r="259" customFormat="false" ht="77.6" hidden="false" customHeight="false" outlineLevel="0" collapsed="false">
      <c r="A259" s="281" t="s">
        <v>364</v>
      </c>
      <c r="B259" s="281" t="s">
        <v>1454</v>
      </c>
      <c r="C259" s="284" t="n">
        <v>0</v>
      </c>
      <c r="D259" s="284" t="n">
        <v>0</v>
      </c>
      <c r="E259" s="284" t="n">
        <v>0</v>
      </c>
      <c r="F259" s="284" t="n">
        <v>0</v>
      </c>
      <c r="G259" s="284" t="n">
        <v>0</v>
      </c>
      <c r="H259" s="284" t="n">
        <v>0</v>
      </c>
      <c r="I259" s="284" t="n">
        <v>0</v>
      </c>
      <c r="J259" s="284" t="n">
        <v>1</v>
      </c>
      <c r="K259" s="285"/>
      <c r="L259" s="281" t="s">
        <v>505</v>
      </c>
      <c r="M259" s="285"/>
      <c r="N259" s="285"/>
      <c r="O259" s="287" t="s">
        <v>1455</v>
      </c>
      <c r="P259" s="287" t="s">
        <v>1455</v>
      </c>
      <c r="Q259" s="281" t="s">
        <v>1456</v>
      </c>
      <c r="R259" s="285"/>
      <c r="S259" s="287" t="s">
        <v>1455</v>
      </c>
      <c r="T259" s="285"/>
      <c r="U259" s="281" t="s">
        <v>26</v>
      </c>
      <c r="V259" s="285"/>
      <c r="W259" s="281" t="s">
        <v>547</v>
      </c>
      <c r="X259" s="284" t="n">
        <v>5</v>
      </c>
    </row>
    <row r="260" customFormat="false" ht="64.9" hidden="false" customHeight="false" outlineLevel="0" collapsed="false">
      <c r="A260" s="281" t="s">
        <v>365</v>
      </c>
      <c r="B260" s="281" t="s">
        <v>1457</v>
      </c>
      <c r="C260" s="284" t="n">
        <v>0</v>
      </c>
      <c r="D260" s="284" t="n">
        <v>0</v>
      </c>
      <c r="E260" s="284" t="n">
        <v>0</v>
      </c>
      <c r="F260" s="284" t="n">
        <v>0</v>
      </c>
      <c r="G260" s="284" t="n">
        <v>0</v>
      </c>
      <c r="H260" s="284" t="n">
        <v>0</v>
      </c>
      <c r="I260" s="284" t="n">
        <v>0</v>
      </c>
      <c r="J260" s="284" t="n">
        <v>1</v>
      </c>
      <c r="K260" s="285"/>
      <c r="L260" s="281" t="s">
        <v>505</v>
      </c>
      <c r="M260" s="285"/>
      <c r="N260" s="285"/>
      <c r="O260" s="287" t="s">
        <v>1458</v>
      </c>
      <c r="P260" s="287" t="s">
        <v>1458</v>
      </c>
      <c r="Q260" s="281" t="s">
        <v>1459</v>
      </c>
      <c r="R260" s="285"/>
      <c r="S260" s="281" t="s">
        <v>1460</v>
      </c>
      <c r="T260" s="285"/>
      <c r="U260" s="281" t="s">
        <v>26</v>
      </c>
      <c r="V260" s="285"/>
      <c r="W260" s="281" t="s">
        <v>547</v>
      </c>
      <c r="X260" s="284" t="n">
        <v>5</v>
      </c>
    </row>
    <row r="261" customFormat="false" ht="64.9" hidden="false" customHeight="false" outlineLevel="0" collapsed="false">
      <c r="A261" s="281" t="s">
        <v>366</v>
      </c>
      <c r="B261" s="281" t="s">
        <v>1461</v>
      </c>
      <c r="C261" s="284" t="n">
        <v>0</v>
      </c>
      <c r="D261" s="284" t="n">
        <v>0</v>
      </c>
      <c r="E261" s="284" t="n">
        <v>0</v>
      </c>
      <c r="F261" s="284" t="n">
        <v>0</v>
      </c>
      <c r="G261" s="284" t="n">
        <v>0</v>
      </c>
      <c r="H261" s="284" t="n">
        <v>0</v>
      </c>
      <c r="I261" s="284" t="n">
        <v>0</v>
      </c>
      <c r="J261" s="284" t="n">
        <v>1</v>
      </c>
      <c r="K261" s="281" t="s">
        <v>1384</v>
      </c>
      <c r="L261" s="281" t="s">
        <v>520</v>
      </c>
      <c r="M261" s="285"/>
      <c r="N261" s="285"/>
      <c r="O261" s="288"/>
      <c r="P261" s="281" t="s">
        <v>1462</v>
      </c>
      <c r="Q261" s="285"/>
      <c r="R261" s="285"/>
      <c r="S261" s="281" t="s">
        <v>1463</v>
      </c>
      <c r="T261" s="285"/>
      <c r="U261" s="281" t="s">
        <v>31</v>
      </c>
      <c r="V261" s="285"/>
      <c r="W261" s="281" t="s">
        <v>547</v>
      </c>
      <c r="X261" s="284" t="n">
        <v>5</v>
      </c>
    </row>
    <row r="262" customFormat="false" ht="166.4" hidden="false" customHeight="false" outlineLevel="0" collapsed="false">
      <c r="A262" s="281" t="s">
        <v>367</v>
      </c>
      <c r="B262" s="281" t="s">
        <v>1464</v>
      </c>
      <c r="C262" s="284" t="n">
        <v>0</v>
      </c>
      <c r="D262" s="284" t="n">
        <v>0</v>
      </c>
      <c r="E262" s="284" t="n">
        <v>0</v>
      </c>
      <c r="F262" s="284" t="n">
        <v>0</v>
      </c>
      <c r="G262" s="284" t="n">
        <v>0</v>
      </c>
      <c r="H262" s="284" t="n">
        <v>0</v>
      </c>
      <c r="I262" s="284" t="n">
        <v>0</v>
      </c>
      <c r="J262" s="284" t="n">
        <v>1</v>
      </c>
      <c r="K262" s="285"/>
      <c r="L262" s="281" t="s">
        <v>505</v>
      </c>
      <c r="M262" s="285"/>
      <c r="N262" s="285"/>
      <c r="O262" s="288"/>
      <c r="P262" s="281" t="s">
        <v>1465</v>
      </c>
      <c r="Q262" s="281" t="s">
        <v>1466</v>
      </c>
      <c r="R262" s="285"/>
      <c r="S262" s="281" t="s">
        <v>1467</v>
      </c>
      <c r="T262" s="289" t="s">
        <v>1468</v>
      </c>
      <c r="U262" s="281" t="s">
        <v>31</v>
      </c>
      <c r="V262" s="285"/>
      <c r="W262" s="281" t="s">
        <v>547</v>
      </c>
      <c r="X262" s="284" t="n">
        <v>5</v>
      </c>
    </row>
    <row r="263" customFormat="false" ht="204.45" hidden="false" customHeight="false" outlineLevel="0" collapsed="false">
      <c r="A263" s="281" t="s">
        <v>368</v>
      </c>
      <c r="B263" s="281" t="s">
        <v>1469</v>
      </c>
      <c r="C263" s="284" t="n">
        <v>0</v>
      </c>
      <c r="D263" s="284" t="n">
        <v>0</v>
      </c>
      <c r="E263" s="284" t="n">
        <v>0</v>
      </c>
      <c r="F263" s="284" t="n">
        <v>0</v>
      </c>
      <c r="G263" s="284" t="n">
        <v>0</v>
      </c>
      <c r="H263" s="284" t="n">
        <v>0</v>
      </c>
      <c r="I263" s="284" t="n">
        <v>0</v>
      </c>
      <c r="J263" s="284" t="n">
        <v>1</v>
      </c>
      <c r="K263" s="285"/>
      <c r="L263" s="281" t="s">
        <v>505</v>
      </c>
      <c r="M263" s="285"/>
      <c r="N263" s="285"/>
      <c r="O263" s="281" t="s">
        <v>1470</v>
      </c>
      <c r="P263" s="281" t="s">
        <v>1471</v>
      </c>
      <c r="Q263" s="281" t="s">
        <v>1472</v>
      </c>
      <c r="R263" s="285"/>
      <c r="S263" s="281" t="s">
        <v>1473</v>
      </c>
      <c r="T263" s="285"/>
      <c r="U263" s="281" t="s">
        <v>31</v>
      </c>
      <c r="V263" s="285"/>
      <c r="W263" s="281" t="s">
        <v>547</v>
      </c>
      <c r="X263" s="284" t="n">
        <v>5</v>
      </c>
    </row>
    <row r="264" customFormat="false" ht="115.65" hidden="false" customHeight="false" outlineLevel="0" collapsed="false">
      <c r="A264" s="281" t="s">
        <v>369</v>
      </c>
      <c r="B264" s="281" t="s">
        <v>1203</v>
      </c>
      <c r="C264" s="284" t="n">
        <v>0</v>
      </c>
      <c r="D264" s="284" t="n">
        <v>0</v>
      </c>
      <c r="E264" s="284" t="n">
        <v>0</v>
      </c>
      <c r="F264" s="284" t="n">
        <v>0</v>
      </c>
      <c r="G264" s="284" t="n">
        <v>0</v>
      </c>
      <c r="H264" s="284" t="n">
        <v>0</v>
      </c>
      <c r="I264" s="284" t="n">
        <v>0</v>
      </c>
      <c r="J264" s="284" t="n">
        <v>1</v>
      </c>
      <c r="K264" s="285"/>
      <c r="L264" s="281" t="s">
        <v>505</v>
      </c>
      <c r="M264" s="285"/>
      <c r="N264" s="285"/>
      <c r="O264" s="285"/>
      <c r="P264" s="281" t="s">
        <v>1474</v>
      </c>
      <c r="Q264" s="281" t="s">
        <v>1475</v>
      </c>
      <c r="R264" s="285"/>
      <c r="S264" s="281" t="s">
        <v>1476</v>
      </c>
      <c r="T264" s="281" t="s">
        <v>1477</v>
      </c>
      <c r="U264" s="281" t="s">
        <v>31</v>
      </c>
      <c r="V264" s="285"/>
      <c r="W264" s="281" t="s">
        <v>594</v>
      </c>
      <c r="X264" s="284" t="n">
        <v>10</v>
      </c>
    </row>
    <row r="265" customFormat="false" ht="102.95" hidden="false" customHeight="false" outlineLevel="0" collapsed="false">
      <c r="A265" s="281" t="s">
        <v>370</v>
      </c>
      <c r="B265" s="281" t="s">
        <v>1478</v>
      </c>
      <c r="C265" s="284" t="n">
        <v>0</v>
      </c>
      <c r="D265" s="284" t="n">
        <v>0</v>
      </c>
      <c r="E265" s="284" t="n">
        <v>0</v>
      </c>
      <c r="F265" s="284" t="n">
        <v>0</v>
      </c>
      <c r="G265" s="284" t="n">
        <v>0</v>
      </c>
      <c r="H265" s="284" t="n">
        <v>0</v>
      </c>
      <c r="I265" s="284" t="n">
        <v>0</v>
      </c>
      <c r="J265" s="284" t="n">
        <v>1</v>
      </c>
      <c r="K265" s="285"/>
      <c r="L265" s="281" t="s">
        <v>505</v>
      </c>
      <c r="M265" s="285"/>
      <c r="N265" s="285"/>
      <c r="O265" s="281" t="s">
        <v>1479</v>
      </c>
      <c r="P265" s="281" t="s">
        <v>1480</v>
      </c>
      <c r="Q265" s="285"/>
      <c r="R265" s="285"/>
      <c r="S265" s="281" t="s">
        <v>1481</v>
      </c>
      <c r="T265" s="281" t="s">
        <v>1482</v>
      </c>
      <c r="U265" s="281" t="s">
        <v>31</v>
      </c>
      <c r="V265" s="285"/>
      <c r="W265" s="281" t="s">
        <v>547</v>
      </c>
      <c r="X265" s="284" t="n">
        <v>5</v>
      </c>
    </row>
    <row r="266" customFormat="false" ht="115.65" hidden="false" customHeight="false" outlineLevel="0" collapsed="false">
      <c r="A266" s="281" t="s">
        <v>371</v>
      </c>
      <c r="B266" s="281" t="s">
        <v>1483</v>
      </c>
      <c r="C266" s="284" t="n">
        <v>0</v>
      </c>
      <c r="D266" s="284" t="n">
        <v>0</v>
      </c>
      <c r="E266" s="284" t="n">
        <v>0</v>
      </c>
      <c r="F266" s="284" t="n">
        <v>0</v>
      </c>
      <c r="G266" s="284" t="n">
        <v>0</v>
      </c>
      <c r="H266" s="284" t="n">
        <v>0</v>
      </c>
      <c r="I266" s="284" t="n">
        <v>0</v>
      </c>
      <c r="J266" s="284" t="n">
        <v>1</v>
      </c>
      <c r="K266" s="285"/>
      <c r="L266" s="281" t="s">
        <v>505</v>
      </c>
      <c r="M266" s="285"/>
      <c r="N266" s="285"/>
      <c r="O266" s="281" t="s">
        <v>1484</v>
      </c>
      <c r="P266" s="281" t="s">
        <v>1485</v>
      </c>
      <c r="Q266" s="285"/>
      <c r="R266" s="285"/>
      <c r="S266" s="281" t="s">
        <v>1486</v>
      </c>
      <c r="T266" s="281" t="s">
        <v>1487</v>
      </c>
      <c r="U266" s="281" t="s">
        <v>31</v>
      </c>
      <c r="V266" s="285"/>
      <c r="W266" s="281" t="s">
        <v>547</v>
      </c>
      <c r="X266" s="284" t="n">
        <v>5</v>
      </c>
    </row>
    <row r="267" customFormat="false" ht="242.5" hidden="false" customHeight="false" outlineLevel="0" collapsed="false">
      <c r="A267" s="281" t="s">
        <v>372</v>
      </c>
      <c r="B267" s="281" t="s">
        <v>1488</v>
      </c>
      <c r="C267" s="284" t="n">
        <v>0</v>
      </c>
      <c r="D267" s="284" t="n">
        <v>0</v>
      </c>
      <c r="E267" s="284" t="n">
        <v>0</v>
      </c>
      <c r="F267" s="284" t="n">
        <v>0</v>
      </c>
      <c r="G267" s="284" t="n">
        <v>0</v>
      </c>
      <c r="H267" s="284" t="n">
        <v>0</v>
      </c>
      <c r="I267" s="284" t="n">
        <v>0</v>
      </c>
      <c r="J267" s="284" t="n">
        <v>1</v>
      </c>
      <c r="K267" s="285"/>
      <c r="L267" s="281" t="s">
        <v>505</v>
      </c>
      <c r="M267" s="285"/>
      <c r="N267" s="285"/>
      <c r="O267" s="281" t="s">
        <v>1489</v>
      </c>
      <c r="P267" s="281" t="s">
        <v>1490</v>
      </c>
      <c r="Q267" s="281" t="s">
        <v>1491</v>
      </c>
      <c r="R267" s="285"/>
      <c r="S267" s="281" t="s">
        <v>1492</v>
      </c>
      <c r="T267" s="285"/>
      <c r="U267" s="281" t="s">
        <v>31</v>
      </c>
      <c r="V267" s="285"/>
      <c r="W267" s="281" t="s">
        <v>538</v>
      </c>
      <c r="X267" s="284" t="n">
        <v>20</v>
      </c>
    </row>
    <row r="268" customFormat="false" ht="115.65" hidden="false" customHeight="false" outlineLevel="0" collapsed="false">
      <c r="A268" s="281" t="s">
        <v>373</v>
      </c>
      <c r="B268" s="281" t="s">
        <v>1493</v>
      </c>
      <c r="C268" s="284" t="n">
        <v>0</v>
      </c>
      <c r="D268" s="284" t="n">
        <v>0</v>
      </c>
      <c r="E268" s="284" t="n">
        <v>0</v>
      </c>
      <c r="F268" s="284" t="n">
        <v>0</v>
      </c>
      <c r="G268" s="284" t="n">
        <v>0</v>
      </c>
      <c r="H268" s="284" t="n">
        <v>0</v>
      </c>
      <c r="I268" s="284" t="n">
        <v>0</v>
      </c>
      <c r="J268" s="284" t="n">
        <v>1</v>
      </c>
      <c r="K268" s="285"/>
      <c r="L268" s="281" t="s">
        <v>505</v>
      </c>
      <c r="M268" s="285"/>
      <c r="N268" s="285"/>
      <c r="O268" s="285"/>
      <c r="P268" s="281" t="s">
        <v>1494</v>
      </c>
      <c r="Q268" s="281" t="s">
        <v>1495</v>
      </c>
      <c r="R268" s="285"/>
      <c r="S268" s="281" t="s">
        <v>1496</v>
      </c>
      <c r="T268" s="281" t="s">
        <v>1497</v>
      </c>
      <c r="U268" s="281" t="s">
        <v>31</v>
      </c>
      <c r="V268" s="285"/>
      <c r="W268" s="281" t="s">
        <v>547</v>
      </c>
      <c r="X268" s="284" t="n">
        <v>5</v>
      </c>
    </row>
    <row r="269" customFormat="false" ht="179.1" hidden="false" customHeight="false" outlineLevel="0" collapsed="false">
      <c r="A269" s="281" t="s">
        <v>374</v>
      </c>
      <c r="B269" s="281" t="s">
        <v>1498</v>
      </c>
      <c r="C269" s="284" t="n">
        <v>0</v>
      </c>
      <c r="D269" s="284" t="n">
        <v>0</v>
      </c>
      <c r="E269" s="284" t="n">
        <v>0</v>
      </c>
      <c r="F269" s="284" t="n">
        <v>0</v>
      </c>
      <c r="G269" s="284" t="n">
        <v>0</v>
      </c>
      <c r="H269" s="284" t="n">
        <v>0</v>
      </c>
      <c r="I269" s="284" t="n">
        <v>0</v>
      </c>
      <c r="J269" s="284" t="n">
        <v>1</v>
      </c>
      <c r="K269" s="285"/>
      <c r="L269" s="281" t="s">
        <v>505</v>
      </c>
      <c r="M269" s="285"/>
      <c r="N269" s="285"/>
      <c r="O269" s="285"/>
      <c r="P269" s="281" t="s">
        <v>1499</v>
      </c>
      <c r="Q269" s="281" t="s">
        <v>1491</v>
      </c>
      <c r="R269" s="283" t="s">
        <v>915</v>
      </c>
      <c r="S269" s="281" t="s">
        <v>1500</v>
      </c>
      <c r="T269" s="281" t="s">
        <v>1501</v>
      </c>
      <c r="U269" s="281" t="s">
        <v>31</v>
      </c>
      <c r="V269" s="285"/>
      <c r="W269" s="281" t="s">
        <v>547</v>
      </c>
      <c r="X269" s="284" t="n">
        <v>5</v>
      </c>
    </row>
    <row r="270" customFormat="false" ht="191.75" hidden="false" customHeight="false" outlineLevel="0" collapsed="false">
      <c r="A270" s="281" t="s">
        <v>375</v>
      </c>
      <c r="B270" s="281" t="s">
        <v>1502</v>
      </c>
      <c r="C270" s="284" t="n">
        <v>0</v>
      </c>
      <c r="D270" s="284" t="n">
        <v>0</v>
      </c>
      <c r="E270" s="284" t="n">
        <v>0</v>
      </c>
      <c r="F270" s="284" t="n">
        <v>0</v>
      </c>
      <c r="G270" s="284" t="n">
        <v>0</v>
      </c>
      <c r="H270" s="284" t="n">
        <v>0</v>
      </c>
      <c r="I270" s="284" t="n">
        <v>0</v>
      </c>
      <c r="J270" s="284" t="n">
        <v>1</v>
      </c>
      <c r="K270" s="285"/>
      <c r="L270" s="281" t="s">
        <v>505</v>
      </c>
      <c r="M270" s="285"/>
      <c r="N270" s="285"/>
      <c r="O270" s="281" t="s">
        <v>1503</v>
      </c>
      <c r="P270" s="281" t="s">
        <v>1503</v>
      </c>
      <c r="Q270" s="281" t="s">
        <v>1504</v>
      </c>
      <c r="R270" s="285"/>
      <c r="S270" s="281" t="s">
        <v>1505</v>
      </c>
      <c r="T270" s="281" t="s">
        <v>1506</v>
      </c>
      <c r="U270" s="281" t="s">
        <v>26</v>
      </c>
      <c r="V270" s="285"/>
      <c r="W270" s="281" t="s">
        <v>547</v>
      </c>
      <c r="X270" s="284" t="n">
        <v>5</v>
      </c>
    </row>
    <row r="271" customFormat="false" ht="229.85" hidden="false" customHeight="false" outlineLevel="0" collapsed="false">
      <c r="A271" s="281" t="s">
        <v>376</v>
      </c>
      <c r="B271" s="281" t="s">
        <v>1507</v>
      </c>
      <c r="C271" s="284" t="n">
        <v>0</v>
      </c>
      <c r="D271" s="284" t="n">
        <v>0</v>
      </c>
      <c r="E271" s="284" t="n">
        <v>0</v>
      </c>
      <c r="F271" s="284" t="n">
        <v>0</v>
      </c>
      <c r="G271" s="284" t="n">
        <v>0</v>
      </c>
      <c r="H271" s="284" t="n">
        <v>0</v>
      </c>
      <c r="I271" s="284" t="n">
        <v>0</v>
      </c>
      <c r="J271" s="284" t="n">
        <v>1</v>
      </c>
      <c r="K271" s="285"/>
      <c r="L271" s="281" t="s">
        <v>505</v>
      </c>
      <c r="M271" s="285"/>
      <c r="N271" s="285"/>
      <c r="O271" s="285"/>
      <c r="P271" s="281" t="s">
        <v>1508</v>
      </c>
      <c r="Q271" s="281" t="s">
        <v>1509</v>
      </c>
      <c r="R271" s="285"/>
      <c r="S271" s="281" t="s">
        <v>1510</v>
      </c>
      <c r="T271" s="288"/>
      <c r="U271" s="281" t="s">
        <v>31</v>
      </c>
      <c r="V271" s="285"/>
      <c r="W271" s="281" t="s">
        <v>547</v>
      </c>
      <c r="X271" s="284" t="n">
        <v>5</v>
      </c>
    </row>
    <row r="272" customFormat="false" ht="141" hidden="false" customHeight="false" outlineLevel="0" collapsed="false">
      <c r="A272" s="281" t="s">
        <v>377</v>
      </c>
      <c r="B272" s="281" t="s">
        <v>1511</v>
      </c>
      <c r="C272" s="284" t="n">
        <v>0</v>
      </c>
      <c r="D272" s="284" t="n">
        <v>0</v>
      </c>
      <c r="E272" s="284" t="n">
        <v>0</v>
      </c>
      <c r="F272" s="284" t="n">
        <v>0</v>
      </c>
      <c r="G272" s="284" t="n">
        <v>0</v>
      </c>
      <c r="H272" s="284" t="n">
        <v>0</v>
      </c>
      <c r="I272" s="284" t="n">
        <v>0</v>
      </c>
      <c r="J272" s="284" t="n">
        <v>1</v>
      </c>
      <c r="K272" s="285"/>
      <c r="L272" s="281" t="s">
        <v>505</v>
      </c>
      <c r="M272" s="285"/>
      <c r="N272" s="285"/>
      <c r="O272" s="288"/>
      <c r="P272" s="281" t="s">
        <v>1512</v>
      </c>
      <c r="Q272" s="281" t="s">
        <v>1513</v>
      </c>
      <c r="R272" s="285"/>
      <c r="S272" s="281" t="s">
        <v>1514</v>
      </c>
      <c r="T272" s="285"/>
      <c r="U272" s="281" t="s">
        <v>31</v>
      </c>
      <c r="V272" s="285"/>
      <c r="W272" s="281" t="s">
        <v>547</v>
      </c>
      <c r="X272" s="284" t="n">
        <v>5</v>
      </c>
    </row>
    <row r="273" customFormat="false" ht="52.2" hidden="false" customHeight="false" outlineLevel="0" collapsed="false">
      <c r="A273" s="281" t="s">
        <v>378</v>
      </c>
      <c r="B273" s="281" t="s">
        <v>1515</v>
      </c>
      <c r="C273" s="284" t="n">
        <v>0</v>
      </c>
      <c r="D273" s="284" t="n">
        <v>0</v>
      </c>
      <c r="E273" s="284" t="n">
        <v>0</v>
      </c>
      <c r="F273" s="284" t="n">
        <v>0</v>
      </c>
      <c r="G273" s="284" t="n">
        <v>0</v>
      </c>
      <c r="H273" s="284" t="n">
        <v>0</v>
      </c>
      <c r="I273" s="284" t="n">
        <v>0</v>
      </c>
      <c r="J273" s="284" t="n">
        <v>1</v>
      </c>
      <c r="K273" s="285"/>
      <c r="L273" s="281" t="s">
        <v>505</v>
      </c>
      <c r="M273" s="285"/>
      <c r="N273" s="285"/>
      <c r="O273" s="285"/>
      <c r="P273" s="281" t="s">
        <v>1516</v>
      </c>
      <c r="Q273" s="281" t="s">
        <v>1517</v>
      </c>
      <c r="R273" s="285"/>
      <c r="S273" s="285"/>
      <c r="T273" s="285"/>
      <c r="U273" s="281" t="s">
        <v>26</v>
      </c>
      <c r="V273" s="285"/>
      <c r="W273" s="281" t="s">
        <v>538</v>
      </c>
      <c r="X273" s="284" t="n">
        <v>20</v>
      </c>
    </row>
    <row r="274" customFormat="false" ht="102.95" hidden="false" customHeight="false" outlineLevel="0" collapsed="false">
      <c r="A274" s="281" t="s">
        <v>379</v>
      </c>
      <c r="B274" s="281" t="s">
        <v>1518</v>
      </c>
      <c r="C274" s="284" t="n">
        <v>0</v>
      </c>
      <c r="D274" s="284" t="n">
        <v>0</v>
      </c>
      <c r="E274" s="284" t="n">
        <v>0</v>
      </c>
      <c r="F274" s="284" t="n">
        <v>0</v>
      </c>
      <c r="G274" s="284" t="n">
        <v>0</v>
      </c>
      <c r="H274" s="284" t="n">
        <v>0</v>
      </c>
      <c r="I274" s="284" t="n">
        <v>0</v>
      </c>
      <c r="J274" s="284" t="n">
        <v>1</v>
      </c>
      <c r="K274" s="285"/>
      <c r="L274" s="281" t="s">
        <v>505</v>
      </c>
      <c r="M274" s="285"/>
      <c r="N274" s="285"/>
      <c r="O274" s="281" t="s">
        <v>1519</v>
      </c>
      <c r="P274" s="281" t="s">
        <v>1520</v>
      </c>
      <c r="Q274" s="281" t="s">
        <v>1521</v>
      </c>
      <c r="R274" s="285"/>
      <c r="S274" s="281" t="s">
        <v>1522</v>
      </c>
      <c r="T274" s="285"/>
      <c r="U274" s="281" t="s">
        <v>31</v>
      </c>
      <c r="V274" s="285"/>
      <c r="W274" s="281" t="s">
        <v>547</v>
      </c>
      <c r="X274" s="284" t="n">
        <v>5</v>
      </c>
    </row>
    <row r="275" customFormat="false" ht="90.25" hidden="false" customHeight="false" outlineLevel="0" collapsed="false">
      <c r="A275" s="281" t="s">
        <v>380</v>
      </c>
      <c r="B275" s="281" t="s">
        <v>1523</v>
      </c>
      <c r="C275" s="284" t="n">
        <v>0</v>
      </c>
      <c r="D275" s="284" t="n">
        <v>0</v>
      </c>
      <c r="E275" s="284" t="n">
        <v>0</v>
      </c>
      <c r="F275" s="284" t="n">
        <v>0</v>
      </c>
      <c r="G275" s="284" t="n">
        <v>0</v>
      </c>
      <c r="H275" s="284" t="n">
        <v>0</v>
      </c>
      <c r="I275" s="284" t="n">
        <v>0</v>
      </c>
      <c r="J275" s="284" t="n">
        <v>1</v>
      </c>
      <c r="K275" s="281" t="s">
        <v>1384</v>
      </c>
      <c r="L275" s="281" t="s">
        <v>505</v>
      </c>
      <c r="M275" s="285"/>
      <c r="N275" s="285"/>
      <c r="O275" s="281" t="s">
        <v>1524</v>
      </c>
      <c r="P275" s="285"/>
      <c r="Q275" s="281" t="s">
        <v>1525</v>
      </c>
      <c r="R275" s="285"/>
      <c r="S275" s="281" t="s">
        <v>1526</v>
      </c>
      <c r="T275" s="281" t="s">
        <v>1527</v>
      </c>
      <c r="U275" s="281" t="s">
        <v>26</v>
      </c>
      <c r="V275" s="285"/>
      <c r="W275" s="281" t="s">
        <v>594</v>
      </c>
      <c r="X275" s="284" t="n">
        <v>10</v>
      </c>
    </row>
    <row r="276" customFormat="false" ht="64.9" hidden="false" customHeight="false" outlineLevel="0" collapsed="false">
      <c r="A276" s="281" t="s">
        <v>382</v>
      </c>
      <c r="B276" s="281" t="s">
        <v>1528</v>
      </c>
      <c r="C276" s="284" t="n">
        <v>0</v>
      </c>
      <c r="D276" s="284" t="n">
        <v>0</v>
      </c>
      <c r="E276" s="284" t="n">
        <v>0</v>
      </c>
      <c r="F276" s="284" t="n">
        <v>0</v>
      </c>
      <c r="G276" s="284" t="n">
        <v>0</v>
      </c>
      <c r="H276" s="284" t="n">
        <v>0</v>
      </c>
      <c r="I276" s="284" t="n">
        <v>0</v>
      </c>
      <c r="J276" s="284" t="n">
        <v>1</v>
      </c>
      <c r="K276" s="281" t="s">
        <v>1384</v>
      </c>
      <c r="L276" s="281" t="s">
        <v>505</v>
      </c>
      <c r="M276" s="285"/>
      <c r="N276" s="285"/>
      <c r="O276" s="281" t="s">
        <v>1529</v>
      </c>
      <c r="P276" s="281" t="s">
        <v>1520</v>
      </c>
      <c r="Q276" s="281" t="s">
        <v>1530</v>
      </c>
      <c r="R276" s="285"/>
      <c r="S276" s="281" t="s">
        <v>1531</v>
      </c>
      <c r="T276" s="285"/>
      <c r="U276" s="281" t="s">
        <v>31</v>
      </c>
      <c r="V276" s="285"/>
      <c r="W276" s="281" t="s">
        <v>594</v>
      </c>
      <c r="X276" s="284" t="n">
        <v>10</v>
      </c>
    </row>
    <row r="277" customFormat="false" ht="52.2" hidden="false" customHeight="false" outlineLevel="0" collapsed="false">
      <c r="A277" s="281" t="s">
        <v>384</v>
      </c>
      <c r="B277" s="281" t="s">
        <v>1532</v>
      </c>
      <c r="C277" s="284" t="n">
        <v>0</v>
      </c>
      <c r="D277" s="284" t="n">
        <v>0</v>
      </c>
      <c r="E277" s="284" t="n">
        <v>0</v>
      </c>
      <c r="F277" s="284" t="n">
        <v>0</v>
      </c>
      <c r="G277" s="284" t="n">
        <v>0</v>
      </c>
      <c r="H277" s="284" t="n">
        <v>0</v>
      </c>
      <c r="I277" s="284" t="n">
        <v>0</v>
      </c>
      <c r="J277" s="284" t="n">
        <v>1</v>
      </c>
      <c r="K277" s="281" t="s">
        <v>1384</v>
      </c>
      <c r="L277" s="281" t="s">
        <v>505</v>
      </c>
      <c r="M277" s="285"/>
      <c r="N277" s="285"/>
      <c r="O277" s="281" t="s">
        <v>1533</v>
      </c>
      <c r="P277" s="281" t="s">
        <v>1520</v>
      </c>
      <c r="Q277" s="285"/>
      <c r="R277" s="285"/>
      <c r="S277" s="281" t="s">
        <v>1534</v>
      </c>
      <c r="T277" s="285"/>
      <c r="U277" s="281" t="s">
        <v>31</v>
      </c>
      <c r="V277" s="285"/>
      <c r="W277" s="281" t="s">
        <v>594</v>
      </c>
      <c r="X277" s="284" t="n">
        <v>10</v>
      </c>
    </row>
    <row r="278" customFormat="false" ht="90.25" hidden="false" customHeight="false" outlineLevel="0" collapsed="false">
      <c r="A278" s="281" t="s">
        <v>386</v>
      </c>
      <c r="B278" s="281" t="s">
        <v>1535</v>
      </c>
      <c r="C278" s="284" t="n">
        <v>0</v>
      </c>
      <c r="D278" s="284" t="n">
        <v>0</v>
      </c>
      <c r="E278" s="284" t="n">
        <v>0</v>
      </c>
      <c r="F278" s="284" t="n">
        <v>0</v>
      </c>
      <c r="G278" s="284" t="n">
        <v>0</v>
      </c>
      <c r="H278" s="284" t="n">
        <v>0</v>
      </c>
      <c r="I278" s="284" t="n">
        <v>0</v>
      </c>
      <c r="J278" s="284" t="n">
        <v>1</v>
      </c>
      <c r="K278" s="281" t="s">
        <v>1384</v>
      </c>
      <c r="L278" s="281" t="s">
        <v>505</v>
      </c>
      <c r="M278" s="285"/>
      <c r="N278" s="285"/>
      <c r="O278" s="281" t="s">
        <v>1536</v>
      </c>
      <c r="P278" s="281" t="s">
        <v>1536</v>
      </c>
      <c r="Q278" s="281" t="s">
        <v>1537</v>
      </c>
      <c r="R278" s="285"/>
      <c r="S278" s="281" t="s">
        <v>1538</v>
      </c>
      <c r="T278" s="281" t="s">
        <v>1539</v>
      </c>
      <c r="U278" s="281" t="s">
        <v>26</v>
      </c>
      <c r="V278" s="285"/>
      <c r="W278" s="281" t="s">
        <v>594</v>
      </c>
      <c r="X278" s="284" t="n">
        <v>10</v>
      </c>
    </row>
    <row r="279" customFormat="false" ht="64.9" hidden="false" customHeight="false" outlineLevel="0" collapsed="false">
      <c r="A279" s="281" t="s">
        <v>387</v>
      </c>
      <c r="B279" s="281" t="s">
        <v>1540</v>
      </c>
      <c r="C279" s="284" t="n">
        <v>0</v>
      </c>
      <c r="D279" s="284" t="n">
        <v>0</v>
      </c>
      <c r="E279" s="284" t="n">
        <v>0</v>
      </c>
      <c r="F279" s="284" t="n">
        <v>0</v>
      </c>
      <c r="G279" s="284" t="n">
        <v>0</v>
      </c>
      <c r="H279" s="284" t="n">
        <v>0</v>
      </c>
      <c r="I279" s="284" t="n">
        <v>0</v>
      </c>
      <c r="J279" s="284" t="n">
        <v>1</v>
      </c>
      <c r="K279" s="281" t="s">
        <v>1384</v>
      </c>
      <c r="L279" s="281" t="s">
        <v>505</v>
      </c>
      <c r="M279" s="285"/>
      <c r="N279" s="285"/>
      <c r="O279" s="281" t="s">
        <v>1541</v>
      </c>
      <c r="P279" s="281" t="s">
        <v>1520</v>
      </c>
      <c r="Q279" s="285"/>
      <c r="R279" s="281" t="s">
        <v>712</v>
      </c>
      <c r="S279" s="281" t="s">
        <v>1542</v>
      </c>
      <c r="T279" s="285"/>
      <c r="U279" s="281" t="s">
        <v>31</v>
      </c>
      <c r="V279" s="285"/>
      <c r="W279" s="281" t="s">
        <v>594</v>
      </c>
      <c r="X279" s="284" t="n">
        <v>10</v>
      </c>
    </row>
    <row r="280" customFormat="false" ht="39.55" hidden="false" customHeight="false" outlineLevel="0" collapsed="false">
      <c r="A280" s="281" t="s">
        <v>388</v>
      </c>
      <c r="B280" s="281" t="s">
        <v>1543</v>
      </c>
      <c r="C280" s="284" t="n">
        <v>0</v>
      </c>
      <c r="D280" s="284" t="n">
        <v>0</v>
      </c>
      <c r="E280" s="284" t="n">
        <v>0</v>
      </c>
      <c r="F280" s="284" t="n">
        <v>0</v>
      </c>
      <c r="G280" s="284" t="n">
        <v>0</v>
      </c>
      <c r="H280" s="284" t="n">
        <v>0</v>
      </c>
      <c r="I280" s="284" t="n">
        <v>0</v>
      </c>
      <c r="J280" s="284" t="n">
        <v>1</v>
      </c>
      <c r="K280" s="285"/>
      <c r="L280" s="281" t="s">
        <v>505</v>
      </c>
      <c r="M280" s="285"/>
      <c r="N280" s="285"/>
      <c r="O280" s="285"/>
      <c r="P280" s="281" t="s">
        <v>1544</v>
      </c>
      <c r="Q280" s="281" t="s">
        <v>1545</v>
      </c>
      <c r="R280" s="285"/>
      <c r="S280" s="285"/>
      <c r="T280" s="285"/>
      <c r="U280" s="281" t="s">
        <v>31</v>
      </c>
      <c r="V280" s="285"/>
      <c r="W280" s="281" t="s">
        <v>594</v>
      </c>
      <c r="X280" s="284" t="n">
        <v>10</v>
      </c>
    </row>
    <row r="281" customFormat="false" ht="64.9" hidden="false" customHeight="false" outlineLevel="0" collapsed="false">
      <c r="A281" s="281" t="s">
        <v>389</v>
      </c>
      <c r="B281" s="281" t="s">
        <v>1546</v>
      </c>
      <c r="C281" s="284" t="n">
        <v>0</v>
      </c>
      <c r="D281" s="284" t="n">
        <v>0</v>
      </c>
      <c r="E281" s="284" t="n">
        <v>0</v>
      </c>
      <c r="F281" s="284" t="n">
        <v>0</v>
      </c>
      <c r="G281" s="284" t="n">
        <v>0</v>
      </c>
      <c r="H281" s="284" t="n">
        <v>0</v>
      </c>
      <c r="I281" s="284" t="n">
        <v>0</v>
      </c>
      <c r="J281" s="284" t="n">
        <v>1</v>
      </c>
      <c r="K281" s="285"/>
      <c r="L281" s="281" t="s">
        <v>505</v>
      </c>
      <c r="M281" s="285"/>
      <c r="N281" s="285"/>
      <c r="O281" s="285"/>
      <c r="P281" s="281" t="s">
        <v>1520</v>
      </c>
      <c r="Q281" s="281" t="s">
        <v>1547</v>
      </c>
      <c r="R281" s="285"/>
      <c r="S281" s="285"/>
      <c r="T281" s="281" t="s">
        <v>1548</v>
      </c>
      <c r="U281" s="281" t="s">
        <v>31</v>
      </c>
      <c r="V281" s="285"/>
      <c r="W281" s="281" t="s">
        <v>594</v>
      </c>
      <c r="X281" s="284" t="n">
        <v>10</v>
      </c>
    </row>
    <row r="282" customFormat="false" ht="52.2" hidden="false" customHeight="false" outlineLevel="0" collapsed="false">
      <c r="A282" s="281" t="s">
        <v>390</v>
      </c>
      <c r="B282" s="281" t="s">
        <v>1549</v>
      </c>
      <c r="C282" s="284" t="n">
        <v>0</v>
      </c>
      <c r="D282" s="284" t="n">
        <v>0</v>
      </c>
      <c r="E282" s="284" t="n">
        <v>0</v>
      </c>
      <c r="F282" s="284" t="n">
        <v>0</v>
      </c>
      <c r="G282" s="284" t="n">
        <v>0</v>
      </c>
      <c r="H282" s="284" t="n">
        <v>0</v>
      </c>
      <c r="I282" s="284" t="n">
        <v>0</v>
      </c>
      <c r="J282" s="284" t="n">
        <v>1</v>
      </c>
      <c r="K282" s="285"/>
      <c r="L282" s="281" t="s">
        <v>505</v>
      </c>
      <c r="M282" s="285"/>
      <c r="N282" s="285"/>
      <c r="O282" s="285"/>
      <c r="P282" s="281" t="s">
        <v>1520</v>
      </c>
      <c r="Q282" s="281" t="s">
        <v>1545</v>
      </c>
      <c r="R282" s="283" t="s">
        <v>915</v>
      </c>
      <c r="S282" s="285"/>
      <c r="T282" s="285"/>
      <c r="U282" s="281" t="s">
        <v>31</v>
      </c>
      <c r="V282" s="285"/>
      <c r="W282" s="281" t="s">
        <v>594</v>
      </c>
      <c r="X282" s="284" t="n">
        <v>10</v>
      </c>
    </row>
    <row r="283" customFormat="false" ht="153.7" hidden="false" customHeight="false" outlineLevel="0" collapsed="false">
      <c r="A283" s="281" t="s">
        <v>391</v>
      </c>
      <c r="B283" s="281" t="s">
        <v>1550</v>
      </c>
      <c r="C283" s="284" t="n">
        <v>0</v>
      </c>
      <c r="D283" s="284" t="n">
        <v>0</v>
      </c>
      <c r="E283" s="284" t="n">
        <v>0</v>
      </c>
      <c r="F283" s="284" t="n">
        <v>0</v>
      </c>
      <c r="G283" s="284" t="n">
        <v>0</v>
      </c>
      <c r="H283" s="284" t="n">
        <v>0</v>
      </c>
      <c r="I283" s="284" t="n">
        <v>0</v>
      </c>
      <c r="J283" s="284" t="n">
        <v>1</v>
      </c>
      <c r="K283" s="285"/>
      <c r="L283" s="281" t="s">
        <v>505</v>
      </c>
      <c r="M283" s="285"/>
      <c r="N283" s="285"/>
      <c r="O283" s="281" t="s">
        <v>1551</v>
      </c>
      <c r="P283" s="281" t="s">
        <v>1520</v>
      </c>
      <c r="Q283" s="281" t="s">
        <v>1552</v>
      </c>
      <c r="R283" s="283" t="s">
        <v>915</v>
      </c>
      <c r="S283" s="281" t="s">
        <v>1553</v>
      </c>
      <c r="T283" s="285"/>
      <c r="U283" s="281" t="s">
        <v>31</v>
      </c>
      <c r="V283" s="285"/>
      <c r="W283" s="281" t="s">
        <v>594</v>
      </c>
      <c r="X283" s="284" t="n">
        <v>10</v>
      </c>
    </row>
    <row r="284" customFormat="false" ht="52.2" hidden="false" customHeight="false" outlineLevel="0" collapsed="false">
      <c r="A284" s="281" t="s">
        <v>392</v>
      </c>
      <c r="B284" s="281" t="s">
        <v>1554</v>
      </c>
      <c r="C284" s="284" t="n">
        <v>0</v>
      </c>
      <c r="D284" s="284" t="n">
        <v>0</v>
      </c>
      <c r="E284" s="284" t="n">
        <v>0</v>
      </c>
      <c r="F284" s="284" t="n">
        <v>0</v>
      </c>
      <c r="G284" s="284" t="n">
        <v>0</v>
      </c>
      <c r="H284" s="284" t="n">
        <v>0</v>
      </c>
      <c r="I284" s="284" t="n">
        <v>0</v>
      </c>
      <c r="J284" s="284" t="n">
        <v>1</v>
      </c>
      <c r="K284" s="285"/>
      <c r="L284" s="281" t="s">
        <v>505</v>
      </c>
      <c r="M284" s="285"/>
      <c r="N284" s="285"/>
      <c r="O284" s="285"/>
      <c r="P284" s="281" t="s">
        <v>1520</v>
      </c>
      <c r="Q284" s="281" t="s">
        <v>1545</v>
      </c>
      <c r="R284" s="283" t="s">
        <v>915</v>
      </c>
      <c r="S284" s="285"/>
      <c r="T284" s="285"/>
      <c r="U284" s="281" t="s">
        <v>31</v>
      </c>
      <c r="V284" s="285"/>
      <c r="W284" s="281" t="s">
        <v>594</v>
      </c>
      <c r="X284" s="284" t="n">
        <v>10</v>
      </c>
    </row>
    <row r="285" customFormat="false" ht="115.65" hidden="false" customHeight="false" outlineLevel="0" collapsed="false">
      <c r="A285" s="281" t="s">
        <v>393</v>
      </c>
      <c r="B285" s="281" t="s">
        <v>1555</v>
      </c>
      <c r="C285" s="284" t="n">
        <v>0</v>
      </c>
      <c r="D285" s="284" t="n">
        <v>0</v>
      </c>
      <c r="E285" s="284" t="n">
        <v>0</v>
      </c>
      <c r="F285" s="284" t="n">
        <v>0</v>
      </c>
      <c r="G285" s="284" t="n">
        <v>0</v>
      </c>
      <c r="H285" s="284" t="n">
        <v>0</v>
      </c>
      <c r="I285" s="284" t="n">
        <v>0</v>
      </c>
      <c r="J285" s="284" t="n">
        <v>1</v>
      </c>
      <c r="K285" s="285"/>
      <c r="L285" s="281" t="s">
        <v>505</v>
      </c>
      <c r="M285" s="285"/>
      <c r="N285" s="285"/>
      <c r="O285" s="285"/>
      <c r="P285" s="281" t="s">
        <v>1556</v>
      </c>
      <c r="Q285" s="288"/>
      <c r="R285" s="283" t="s">
        <v>915</v>
      </c>
      <c r="S285" s="281" t="s">
        <v>1557</v>
      </c>
      <c r="T285" s="285"/>
      <c r="U285" s="281" t="s">
        <v>31</v>
      </c>
      <c r="V285" s="285"/>
      <c r="W285" s="281" t="s">
        <v>594</v>
      </c>
      <c r="X285" s="284" t="n">
        <v>10</v>
      </c>
    </row>
    <row r="286" customFormat="false" ht="217.15" hidden="false" customHeight="false" outlineLevel="0" collapsed="false">
      <c r="A286" s="281" t="s">
        <v>394</v>
      </c>
      <c r="B286" s="281" t="s">
        <v>1558</v>
      </c>
      <c r="C286" s="284" t="n">
        <v>0</v>
      </c>
      <c r="D286" s="284" t="n">
        <v>0</v>
      </c>
      <c r="E286" s="284" t="n">
        <v>0</v>
      </c>
      <c r="F286" s="284" t="n">
        <v>0</v>
      </c>
      <c r="G286" s="284" t="n">
        <v>0</v>
      </c>
      <c r="H286" s="284" t="n">
        <v>0</v>
      </c>
      <c r="I286" s="284" t="n">
        <v>0</v>
      </c>
      <c r="J286" s="284" t="n">
        <v>1</v>
      </c>
      <c r="K286" s="285"/>
      <c r="L286" s="281" t="s">
        <v>505</v>
      </c>
      <c r="M286" s="285"/>
      <c r="N286" s="285"/>
      <c r="O286" s="281" t="s">
        <v>1559</v>
      </c>
      <c r="P286" s="281" t="s">
        <v>1559</v>
      </c>
      <c r="Q286" s="281" t="s">
        <v>1559</v>
      </c>
      <c r="R286" s="283" t="s">
        <v>915</v>
      </c>
      <c r="S286" s="281" t="s">
        <v>1560</v>
      </c>
      <c r="T286" s="285"/>
      <c r="U286" s="281" t="s">
        <v>31</v>
      </c>
      <c r="V286" s="285"/>
      <c r="W286" s="281" t="s">
        <v>594</v>
      </c>
      <c r="X286" s="284" t="n">
        <v>10</v>
      </c>
    </row>
    <row r="287" customFormat="false" ht="52.2" hidden="false" customHeight="false" outlineLevel="0" collapsed="false">
      <c r="A287" s="281" t="s">
        <v>395</v>
      </c>
      <c r="B287" s="281" t="s">
        <v>1561</v>
      </c>
      <c r="C287" s="284" t="n">
        <v>0</v>
      </c>
      <c r="D287" s="284" t="n">
        <v>0</v>
      </c>
      <c r="E287" s="284" t="n">
        <v>0</v>
      </c>
      <c r="F287" s="284" t="n">
        <v>0</v>
      </c>
      <c r="G287" s="284" t="n">
        <v>0</v>
      </c>
      <c r="H287" s="284" t="n">
        <v>0</v>
      </c>
      <c r="I287" s="284" t="n">
        <v>0</v>
      </c>
      <c r="J287" s="284" t="n">
        <v>1</v>
      </c>
      <c r="K287" s="285"/>
      <c r="L287" s="281" t="s">
        <v>505</v>
      </c>
      <c r="M287" s="285"/>
      <c r="N287" s="285"/>
      <c r="O287" s="285"/>
      <c r="P287" s="285"/>
      <c r="Q287" s="285"/>
      <c r="R287" s="283" t="s">
        <v>915</v>
      </c>
      <c r="S287" s="285"/>
      <c r="T287" s="285"/>
      <c r="U287" s="281" t="s">
        <v>31</v>
      </c>
      <c r="V287" s="285"/>
      <c r="W287" s="281" t="s">
        <v>594</v>
      </c>
      <c r="X287" s="284" t="n">
        <v>10</v>
      </c>
    </row>
    <row r="288" customFormat="false" ht="52.2" hidden="false" customHeight="false" outlineLevel="0" collapsed="false">
      <c r="A288" s="281" t="s">
        <v>396</v>
      </c>
      <c r="B288" s="281" t="s">
        <v>1562</v>
      </c>
      <c r="C288" s="284" t="n">
        <v>0</v>
      </c>
      <c r="D288" s="284" t="n">
        <v>0</v>
      </c>
      <c r="E288" s="284" t="n">
        <v>0</v>
      </c>
      <c r="F288" s="284" t="n">
        <v>0</v>
      </c>
      <c r="G288" s="284" t="n">
        <v>0</v>
      </c>
      <c r="H288" s="284" t="n">
        <v>0</v>
      </c>
      <c r="I288" s="284" t="n">
        <v>0</v>
      </c>
      <c r="J288" s="284" t="n">
        <v>1</v>
      </c>
      <c r="K288" s="285"/>
      <c r="L288" s="281" t="s">
        <v>505</v>
      </c>
      <c r="M288" s="285"/>
      <c r="N288" s="285"/>
      <c r="O288" s="285"/>
      <c r="P288" s="285"/>
      <c r="Q288" s="285"/>
      <c r="R288" s="283" t="s">
        <v>915</v>
      </c>
      <c r="S288" s="285"/>
      <c r="T288" s="285"/>
      <c r="U288" s="281" t="s">
        <v>31</v>
      </c>
      <c r="V288" s="285"/>
      <c r="W288" s="281" t="s">
        <v>594</v>
      </c>
      <c r="X288" s="284" t="n">
        <v>10</v>
      </c>
    </row>
    <row r="289" customFormat="false" ht="52.2" hidden="false" customHeight="false" outlineLevel="0" collapsed="false">
      <c r="A289" s="281" t="s">
        <v>397</v>
      </c>
      <c r="B289" s="281" t="s">
        <v>1563</v>
      </c>
      <c r="C289" s="284" t="n">
        <v>0</v>
      </c>
      <c r="D289" s="284" t="n">
        <v>0</v>
      </c>
      <c r="E289" s="284" t="n">
        <v>0</v>
      </c>
      <c r="F289" s="284" t="n">
        <v>0</v>
      </c>
      <c r="G289" s="284" t="n">
        <v>0</v>
      </c>
      <c r="H289" s="284" t="n">
        <v>0</v>
      </c>
      <c r="I289" s="284" t="n">
        <v>0</v>
      </c>
      <c r="J289" s="284" t="n">
        <v>1</v>
      </c>
      <c r="K289" s="285"/>
      <c r="L289" s="281" t="s">
        <v>505</v>
      </c>
      <c r="M289" s="285"/>
      <c r="N289" s="285"/>
      <c r="O289" s="285"/>
      <c r="P289" s="285"/>
      <c r="Q289" s="285"/>
      <c r="R289" s="283" t="s">
        <v>915</v>
      </c>
      <c r="S289" s="285"/>
      <c r="T289" s="285"/>
      <c r="U289" s="281" t="s">
        <v>31</v>
      </c>
      <c r="V289" s="285"/>
      <c r="W289" s="281" t="s">
        <v>594</v>
      </c>
      <c r="X289" s="284" t="n">
        <v>10</v>
      </c>
    </row>
    <row r="290" customFormat="false" ht="64.9" hidden="false" customHeight="false" outlineLevel="0" collapsed="false">
      <c r="A290" s="281" t="s">
        <v>398</v>
      </c>
      <c r="B290" s="281" t="s">
        <v>1564</v>
      </c>
      <c r="C290" s="284" t="n">
        <v>0</v>
      </c>
      <c r="D290" s="284" t="n">
        <v>0</v>
      </c>
      <c r="E290" s="284" t="n">
        <v>0</v>
      </c>
      <c r="F290" s="284" t="n">
        <v>0</v>
      </c>
      <c r="G290" s="284" t="n">
        <v>0</v>
      </c>
      <c r="H290" s="284" t="n">
        <v>0</v>
      </c>
      <c r="I290" s="284" t="n">
        <v>0</v>
      </c>
      <c r="J290" s="284" t="n">
        <v>1</v>
      </c>
      <c r="K290" s="285"/>
      <c r="L290" s="281" t="s">
        <v>505</v>
      </c>
      <c r="M290" s="285"/>
      <c r="N290" s="285"/>
      <c r="O290" s="288"/>
      <c r="P290" s="285"/>
      <c r="Q290" s="281" t="s">
        <v>1565</v>
      </c>
      <c r="R290" s="283" t="s">
        <v>915</v>
      </c>
      <c r="S290" s="285"/>
      <c r="T290" s="285"/>
      <c r="U290" s="281" t="s">
        <v>31</v>
      </c>
      <c r="V290" s="285"/>
      <c r="W290" s="281" t="s">
        <v>594</v>
      </c>
      <c r="X290" s="284" t="n">
        <v>10</v>
      </c>
    </row>
    <row r="291" customFormat="false" ht="52.2" hidden="false" customHeight="false" outlineLevel="0" collapsed="false">
      <c r="A291" s="281" t="s">
        <v>399</v>
      </c>
      <c r="B291" s="281" t="s">
        <v>1566</v>
      </c>
      <c r="C291" s="284" t="n">
        <v>0</v>
      </c>
      <c r="D291" s="284" t="n">
        <v>0</v>
      </c>
      <c r="E291" s="284" t="n">
        <v>0</v>
      </c>
      <c r="F291" s="284" t="n">
        <v>0</v>
      </c>
      <c r="G291" s="284" t="n">
        <v>0</v>
      </c>
      <c r="H291" s="284" t="n">
        <v>0</v>
      </c>
      <c r="I291" s="284" t="n">
        <v>0</v>
      </c>
      <c r="J291" s="284" t="n">
        <v>1</v>
      </c>
      <c r="K291" s="285"/>
      <c r="L291" s="281" t="s">
        <v>505</v>
      </c>
      <c r="M291" s="285"/>
      <c r="N291" s="285"/>
      <c r="O291" s="285"/>
      <c r="P291" s="285"/>
      <c r="Q291" s="281" t="s">
        <v>1567</v>
      </c>
      <c r="R291" s="283" t="s">
        <v>915</v>
      </c>
      <c r="S291" s="285"/>
      <c r="T291" s="285"/>
      <c r="U291" s="281" t="s">
        <v>31</v>
      </c>
      <c r="V291" s="285"/>
      <c r="W291" s="281" t="s">
        <v>594</v>
      </c>
      <c r="X291" s="284" t="n">
        <v>10</v>
      </c>
    </row>
    <row r="292" customFormat="false" ht="90.25" hidden="false" customHeight="false" outlineLevel="0" collapsed="false">
      <c r="A292" s="281" t="s">
        <v>400</v>
      </c>
      <c r="B292" s="281" t="s">
        <v>1568</v>
      </c>
      <c r="C292" s="284" t="n">
        <v>0</v>
      </c>
      <c r="D292" s="284" t="n">
        <v>0</v>
      </c>
      <c r="E292" s="284" t="n">
        <v>0</v>
      </c>
      <c r="F292" s="284" t="n">
        <v>0</v>
      </c>
      <c r="G292" s="284" t="n">
        <v>0</v>
      </c>
      <c r="H292" s="284" t="n">
        <v>0</v>
      </c>
      <c r="I292" s="284" t="n">
        <v>0</v>
      </c>
      <c r="J292" s="284" t="n">
        <v>1</v>
      </c>
      <c r="K292" s="285"/>
      <c r="L292" s="281" t="s">
        <v>505</v>
      </c>
      <c r="M292" s="285"/>
      <c r="N292" s="285"/>
      <c r="O292" s="285"/>
      <c r="P292" s="285"/>
      <c r="Q292" s="281" t="s">
        <v>1569</v>
      </c>
      <c r="R292" s="283" t="s">
        <v>915</v>
      </c>
      <c r="S292" s="285"/>
      <c r="T292" s="285"/>
      <c r="U292" s="281" t="s">
        <v>26</v>
      </c>
      <c r="V292" s="285"/>
      <c r="W292" s="281" t="s">
        <v>594</v>
      </c>
      <c r="X292" s="284" t="n">
        <v>10</v>
      </c>
    </row>
    <row r="293" customFormat="false" ht="267.9" hidden="false" customHeight="false" outlineLevel="0" collapsed="false">
      <c r="A293" s="281" t="s">
        <v>401</v>
      </c>
      <c r="B293" s="281" t="s">
        <v>1570</v>
      </c>
      <c r="C293" s="284" t="n">
        <v>0</v>
      </c>
      <c r="D293" s="284" t="n">
        <v>0</v>
      </c>
      <c r="E293" s="284" t="n">
        <v>0</v>
      </c>
      <c r="F293" s="284" t="n">
        <v>0</v>
      </c>
      <c r="G293" s="284" t="n">
        <v>0</v>
      </c>
      <c r="H293" s="284" t="n">
        <v>0</v>
      </c>
      <c r="I293" s="284" t="n">
        <v>0</v>
      </c>
      <c r="J293" s="284" t="n">
        <v>1</v>
      </c>
      <c r="K293" s="285"/>
      <c r="L293" s="281" t="s">
        <v>505</v>
      </c>
      <c r="M293" s="285"/>
      <c r="N293" s="285"/>
      <c r="O293" s="281" t="s">
        <v>1571</v>
      </c>
      <c r="P293" s="281" t="s">
        <v>1571</v>
      </c>
      <c r="Q293" s="281" t="s">
        <v>1572</v>
      </c>
      <c r="R293" s="283" t="s">
        <v>915</v>
      </c>
      <c r="S293" s="281" t="s">
        <v>1573</v>
      </c>
      <c r="T293" s="281" t="s">
        <v>1574</v>
      </c>
      <c r="U293" s="281" t="s">
        <v>31</v>
      </c>
      <c r="V293" s="285"/>
      <c r="W293" s="281" t="s">
        <v>594</v>
      </c>
      <c r="X293" s="284" t="n">
        <v>10</v>
      </c>
    </row>
    <row r="294" customFormat="false" ht="191.75" hidden="false" customHeight="false" outlineLevel="0" collapsed="false">
      <c r="A294" s="281" t="s">
        <v>402</v>
      </c>
      <c r="B294" s="281" t="s">
        <v>1575</v>
      </c>
      <c r="C294" s="284" t="n">
        <v>0</v>
      </c>
      <c r="D294" s="284" t="n">
        <v>0</v>
      </c>
      <c r="E294" s="284" t="n">
        <v>0</v>
      </c>
      <c r="F294" s="284" t="n">
        <v>0</v>
      </c>
      <c r="G294" s="284" t="n">
        <v>0</v>
      </c>
      <c r="H294" s="284" t="n">
        <v>0</v>
      </c>
      <c r="I294" s="284" t="n">
        <v>0</v>
      </c>
      <c r="J294" s="284" t="n">
        <v>1</v>
      </c>
      <c r="K294" s="285"/>
      <c r="L294" s="281" t="s">
        <v>505</v>
      </c>
      <c r="M294" s="285"/>
      <c r="N294" s="285"/>
      <c r="O294" s="285"/>
      <c r="P294" s="285"/>
      <c r="Q294" s="281" t="s">
        <v>1576</v>
      </c>
      <c r="R294" s="285"/>
      <c r="S294" s="281" t="s">
        <v>1577</v>
      </c>
      <c r="T294" s="285"/>
      <c r="U294" s="281" t="s">
        <v>31</v>
      </c>
      <c r="V294" s="285"/>
      <c r="W294" s="281" t="s">
        <v>594</v>
      </c>
      <c r="X294" s="284" t="n">
        <v>10</v>
      </c>
    </row>
    <row r="295" customFormat="false" ht="141" hidden="false" customHeight="false" outlineLevel="0" collapsed="false">
      <c r="A295" s="281" t="s">
        <v>403</v>
      </c>
      <c r="B295" s="281" t="s">
        <v>1578</v>
      </c>
      <c r="C295" s="284" t="n">
        <v>0</v>
      </c>
      <c r="D295" s="284" t="n">
        <v>0</v>
      </c>
      <c r="E295" s="284" t="n">
        <v>0</v>
      </c>
      <c r="F295" s="284" t="n">
        <v>0</v>
      </c>
      <c r="G295" s="284" t="n">
        <v>0</v>
      </c>
      <c r="H295" s="284" t="n">
        <v>0</v>
      </c>
      <c r="I295" s="284" t="n">
        <v>0</v>
      </c>
      <c r="J295" s="284" t="n">
        <v>1</v>
      </c>
      <c r="K295" s="281" t="s">
        <v>1384</v>
      </c>
      <c r="L295" s="281" t="s">
        <v>505</v>
      </c>
      <c r="M295" s="285"/>
      <c r="N295" s="281" t="s">
        <v>1579</v>
      </c>
      <c r="O295" s="288"/>
      <c r="P295" s="281" t="s">
        <v>1580</v>
      </c>
      <c r="Q295" s="281" t="s">
        <v>1581</v>
      </c>
      <c r="R295" s="285"/>
      <c r="S295" s="285"/>
      <c r="T295" s="281" t="s">
        <v>1582</v>
      </c>
      <c r="U295" s="281" t="s">
        <v>26</v>
      </c>
      <c r="V295" s="285"/>
      <c r="W295" s="281" t="s">
        <v>594</v>
      </c>
      <c r="X295" s="284" t="n">
        <v>10</v>
      </c>
    </row>
    <row r="296" customFormat="false" ht="115.65" hidden="false" customHeight="false" outlineLevel="0" collapsed="false">
      <c r="A296" s="281" t="s">
        <v>404</v>
      </c>
      <c r="B296" s="281" t="s">
        <v>1583</v>
      </c>
      <c r="C296" s="284" t="n">
        <v>0</v>
      </c>
      <c r="D296" s="284" t="n">
        <v>0</v>
      </c>
      <c r="E296" s="284" t="n">
        <v>0</v>
      </c>
      <c r="F296" s="284" t="n">
        <v>0</v>
      </c>
      <c r="G296" s="284" t="n">
        <v>0</v>
      </c>
      <c r="H296" s="284" t="n">
        <v>0</v>
      </c>
      <c r="I296" s="284" t="n">
        <v>0</v>
      </c>
      <c r="J296" s="284" t="n">
        <v>1</v>
      </c>
      <c r="K296" s="285"/>
      <c r="L296" s="281" t="s">
        <v>505</v>
      </c>
      <c r="M296" s="285"/>
      <c r="N296" s="281" t="s">
        <v>1579</v>
      </c>
      <c r="O296" s="285"/>
      <c r="P296" s="281" t="s">
        <v>1584</v>
      </c>
      <c r="Q296" s="281" t="s">
        <v>1585</v>
      </c>
      <c r="R296" s="281" t="s">
        <v>712</v>
      </c>
      <c r="S296" s="281" t="s">
        <v>1586</v>
      </c>
      <c r="T296" s="281" t="s">
        <v>1587</v>
      </c>
      <c r="U296" s="281" t="s">
        <v>26</v>
      </c>
      <c r="V296" s="285"/>
      <c r="W296" s="281" t="s">
        <v>538</v>
      </c>
      <c r="X296" s="284" t="n">
        <v>20</v>
      </c>
    </row>
    <row r="297" customFormat="false" ht="115.65" hidden="false" customHeight="false" outlineLevel="0" collapsed="false">
      <c r="A297" s="281" t="s">
        <v>405</v>
      </c>
      <c r="B297" s="281" t="s">
        <v>1588</v>
      </c>
      <c r="C297" s="284" t="n">
        <v>0</v>
      </c>
      <c r="D297" s="284" t="n">
        <v>0</v>
      </c>
      <c r="E297" s="284" t="n">
        <v>0</v>
      </c>
      <c r="F297" s="284" t="n">
        <v>0</v>
      </c>
      <c r="G297" s="284" t="n">
        <v>0</v>
      </c>
      <c r="H297" s="284" t="n">
        <v>0</v>
      </c>
      <c r="I297" s="284" t="n">
        <v>0</v>
      </c>
      <c r="J297" s="284" t="n">
        <v>1</v>
      </c>
      <c r="K297" s="285"/>
      <c r="L297" s="281" t="s">
        <v>505</v>
      </c>
      <c r="M297" s="285"/>
      <c r="N297" s="281" t="s">
        <v>1579</v>
      </c>
      <c r="O297" s="285"/>
      <c r="P297" s="281" t="s">
        <v>1589</v>
      </c>
      <c r="Q297" s="281" t="s">
        <v>1590</v>
      </c>
      <c r="R297" s="281" t="s">
        <v>712</v>
      </c>
      <c r="S297" s="281" t="s">
        <v>1591</v>
      </c>
      <c r="T297" s="281" t="s">
        <v>1592</v>
      </c>
      <c r="U297" s="281" t="s">
        <v>31</v>
      </c>
      <c r="V297" s="285"/>
      <c r="W297" s="281" t="s">
        <v>538</v>
      </c>
      <c r="X297" s="284" t="n">
        <v>20</v>
      </c>
    </row>
    <row r="298" customFormat="false" ht="102.95" hidden="false" customHeight="false" outlineLevel="0" collapsed="false">
      <c r="A298" s="281" t="s">
        <v>406</v>
      </c>
      <c r="B298" s="281" t="s">
        <v>1593</v>
      </c>
      <c r="C298" s="284" t="n">
        <v>0</v>
      </c>
      <c r="D298" s="284" t="n">
        <v>0</v>
      </c>
      <c r="E298" s="284" t="n">
        <v>0</v>
      </c>
      <c r="F298" s="284" t="n">
        <v>0</v>
      </c>
      <c r="G298" s="284" t="n">
        <v>0</v>
      </c>
      <c r="H298" s="284" t="n">
        <v>0</v>
      </c>
      <c r="I298" s="284" t="n">
        <v>0</v>
      </c>
      <c r="J298" s="284" t="n">
        <v>1</v>
      </c>
      <c r="K298" s="281" t="s">
        <v>1384</v>
      </c>
      <c r="L298" s="281" t="s">
        <v>505</v>
      </c>
      <c r="M298" s="285"/>
      <c r="N298" s="281" t="s">
        <v>1579</v>
      </c>
      <c r="O298" s="285"/>
      <c r="P298" s="281" t="s">
        <v>1594</v>
      </c>
      <c r="Q298" s="281" t="s">
        <v>1595</v>
      </c>
      <c r="R298" s="285"/>
      <c r="S298" s="281" t="s">
        <v>1596</v>
      </c>
      <c r="T298" s="281" t="s">
        <v>1597</v>
      </c>
      <c r="U298" s="281" t="s">
        <v>26</v>
      </c>
      <c r="V298" s="285"/>
      <c r="W298" s="281" t="s">
        <v>594</v>
      </c>
      <c r="X298" s="284" t="n">
        <v>10</v>
      </c>
    </row>
    <row r="299" customFormat="false" ht="115.65" hidden="false" customHeight="false" outlineLevel="0" collapsed="false">
      <c r="A299" s="281" t="s">
        <v>407</v>
      </c>
      <c r="B299" s="281" t="s">
        <v>1598</v>
      </c>
      <c r="C299" s="284" t="n">
        <v>0</v>
      </c>
      <c r="D299" s="284" t="n">
        <v>0</v>
      </c>
      <c r="E299" s="284" t="n">
        <v>0</v>
      </c>
      <c r="F299" s="284" t="n">
        <v>0</v>
      </c>
      <c r="G299" s="284" t="n">
        <v>0</v>
      </c>
      <c r="H299" s="284" t="n">
        <v>0</v>
      </c>
      <c r="I299" s="284" t="n">
        <v>0</v>
      </c>
      <c r="J299" s="284" t="n">
        <v>1</v>
      </c>
      <c r="K299" s="281" t="s">
        <v>1384</v>
      </c>
      <c r="L299" s="281" t="s">
        <v>505</v>
      </c>
      <c r="M299" s="285"/>
      <c r="N299" s="281" t="s">
        <v>1579</v>
      </c>
      <c r="O299" s="285"/>
      <c r="P299" s="281" t="s">
        <v>1599</v>
      </c>
      <c r="Q299" s="281" t="s">
        <v>1599</v>
      </c>
      <c r="R299" s="281" t="s">
        <v>712</v>
      </c>
      <c r="S299" s="281" t="s">
        <v>1600</v>
      </c>
      <c r="T299" s="281" t="s">
        <v>1601</v>
      </c>
      <c r="U299" s="281" t="s">
        <v>31</v>
      </c>
      <c r="V299" s="285"/>
      <c r="W299" s="281" t="s">
        <v>547</v>
      </c>
      <c r="X299" s="284" t="n">
        <v>5</v>
      </c>
    </row>
    <row r="300" customFormat="false" ht="153.7" hidden="false" customHeight="false" outlineLevel="0" collapsed="false">
      <c r="A300" s="281" t="s">
        <v>408</v>
      </c>
      <c r="B300" s="281" t="s">
        <v>1602</v>
      </c>
      <c r="C300" s="284" t="n">
        <v>0</v>
      </c>
      <c r="D300" s="284" t="n">
        <v>0</v>
      </c>
      <c r="E300" s="284" t="n">
        <v>0</v>
      </c>
      <c r="F300" s="284" t="n">
        <v>0</v>
      </c>
      <c r="G300" s="284" t="n">
        <v>0</v>
      </c>
      <c r="H300" s="284" t="n">
        <v>0</v>
      </c>
      <c r="I300" s="284" t="n">
        <v>0</v>
      </c>
      <c r="J300" s="284" t="n">
        <v>1</v>
      </c>
      <c r="K300" s="281" t="s">
        <v>1384</v>
      </c>
      <c r="L300" s="281" t="s">
        <v>505</v>
      </c>
      <c r="M300" s="285"/>
      <c r="N300" s="281" t="s">
        <v>1579</v>
      </c>
      <c r="O300" s="281" t="s">
        <v>1603</v>
      </c>
      <c r="P300" s="281" t="s">
        <v>1603</v>
      </c>
      <c r="Q300" s="281" t="s">
        <v>1603</v>
      </c>
      <c r="R300" s="285"/>
      <c r="S300" s="281" t="s">
        <v>1604</v>
      </c>
      <c r="T300" s="285"/>
      <c r="U300" s="281" t="s">
        <v>26</v>
      </c>
      <c r="V300" s="285"/>
      <c r="W300" s="281" t="s">
        <v>547</v>
      </c>
      <c r="X300" s="284" t="n">
        <v>5</v>
      </c>
    </row>
    <row r="301" customFormat="false" ht="217.15" hidden="false" customHeight="false" outlineLevel="0" collapsed="false">
      <c r="A301" s="281" t="s">
        <v>409</v>
      </c>
      <c r="B301" s="281" t="s">
        <v>1605</v>
      </c>
      <c r="C301" s="284" t="n">
        <v>0</v>
      </c>
      <c r="D301" s="284" t="n">
        <v>0</v>
      </c>
      <c r="E301" s="284" t="n">
        <v>0</v>
      </c>
      <c r="F301" s="284" t="n">
        <v>0</v>
      </c>
      <c r="G301" s="284" t="n">
        <v>0</v>
      </c>
      <c r="H301" s="284" t="n">
        <v>0</v>
      </c>
      <c r="I301" s="284" t="n">
        <v>0</v>
      </c>
      <c r="J301" s="284" t="n">
        <v>1</v>
      </c>
      <c r="K301" s="281" t="s">
        <v>1384</v>
      </c>
      <c r="L301" s="281" t="s">
        <v>505</v>
      </c>
      <c r="M301" s="285"/>
      <c r="N301" s="281" t="s">
        <v>1579</v>
      </c>
      <c r="O301" s="285"/>
      <c r="P301" s="281" t="s">
        <v>1520</v>
      </c>
      <c r="Q301" s="281" t="s">
        <v>1606</v>
      </c>
      <c r="R301" s="285"/>
      <c r="S301" s="287" t="s">
        <v>1607</v>
      </c>
      <c r="T301" s="285"/>
      <c r="U301" s="281" t="s">
        <v>31</v>
      </c>
      <c r="V301" s="285"/>
      <c r="W301" s="281" t="s">
        <v>547</v>
      </c>
      <c r="X301" s="284" t="n">
        <v>5</v>
      </c>
    </row>
    <row r="302" customFormat="false" ht="64.9" hidden="false" customHeight="false" outlineLevel="0" collapsed="false">
      <c r="A302" s="281" t="s">
        <v>410</v>
      </c>
      <c r="B302" s="281" t="s">
        <v>1608</v>
      </c>
      <c r="C302" s="284" t="n">
        <v>0</v>
      </c>
      <c r="D302" s="284" t="n">
        <v>0</v>
      </c>
      <c r="E302" s="284" t="n">
        <v>0</v>
      </c>
      <c r="F302" s="284" t="n">
        <v>0</v>
      </c>
      <c r="G302" s="284" t="n">
        <v>0</v>
      </c>
      <c r="H302" s="284" t="n">
        <v>0</v>
      </c>
      <c r="I302" s="284" t="n">
        <v>0</v>
      </c>
      <c r="J302" s="284" t="n">
        <v>1</v>
      </c>
      <c r="K302" s="281" t="s">
        <v>1384</v>
      </c>
      <c r="L302" s="281" t="s">
        <v>505</v>
      </c>
      <c r="M302" s="285"/>
      <c r="N302" s="281" t="s">
        <v>1579</v>
      </c>
      <c r="O302" s="285"/>
      <c r="P302" s="281" t="s">
        <v>1520</v>
      </c>
      <c r="Q302" s="281" t="s">
        <v>1609</v>
      </c>
      <c r="R302" s="281" t="s">
        <v>712</v>
      </c>
      <c r="S302" s="285"/>
      <c r="T302" s="285"/>
      <c r="U302" s="281" t="s">
        <v>31</v>
      </c>
      <c r="V302" s="285"/>
      <c r="W302" s="281" t="s">
        <v>547</v>
      </c>
      <c r="X302" s="284" t="n">
        <v>5</v>
      </c>
    </row>
    <row r="303" customFormat="false" ht="64.9" hidden="false" customHeight="false" outlineLevel="0" collapsed="false">
      <c r="A303" s="282" t="s">
        <v>307</v>
      </c>
      <c r="B303" s="280" t="s">
        <v>1610</v>
      </c>
      <c r="C303" s="280" t="n">
        <v>0</v>
      </c>
      <c r="D303" s="280" t="n">
        <v>0</v>
      </c>
      <c r="E303" s="280" t="n">
        <v>0</v>
      </c>
      <c r="F303" s="280" t="n">
        <v>0</v>
      </c>
      <c r="G303" s="280" t="n">
        <v>0</v>
      </c>
      <c r="H303" s="280" t="n">
        <v>0</v>
      </c>
      <c r="I303" s="280" t="n">
        <v>1</v>
      </c>
      <c r="J303" s="280" t="n">
        <v>0</v>
      </c>
      <c r="K303" s="280" t="s">
        <v>16</v>
      </c>
      <c r="L303" s="280" t="s">
        <v>520</v>
      </c>
      <c r="M303" s="280"/>
      <c r="N303" s="280" t="s">
        <v>1579</v>
      </c>
      <c r="O303" s="280" t="s">
        <v>1611</v>
      </c>
      <c r="P303" s="280"/>
      <c r="Q303" s="280"/>
      <c r="R303" s="280"/>
      <c r="S303" s="280"/>
      <c r="T303" s="280"/>
      <c r="U303" s="280" t="s">
        <v>520</v>
      </c>
      <c r="V303" s="280"/>
      <c r="W303" s="280"/>
      <c r="X303" s="280"/>
    </row>
    <row r="304" customFormat="false" ht="64.9" hidden="false" customHeight="false" outlineLevel="0" collapsed="false">
      <c r="A304" s="282" t="s">
        <v>308</v>
      </c>
      <c r="B304" s="280" t="s">
        <v>1612</v>
      </c>
      <c r="C304" s="280" t="n">
        <v>0</v>
      </c>
      <c r="D304" s="280" t="n">
        <v>0</v>
      </c>
      <c r="E304" s="280" t="n">
        <v>0</v>
      </c>
      <c r="F304" s="280" t="n">
        <v>0</v>
      </c>
      <c r="G304" s="280" t="n">
        <v>0</v>
      </c>
      <c r="H304" s="280" t="n">
        <v>0</v>
      </c>
      <c r="I304" s="280" t="n">
        <v>1</v>
      </c>
      <c r="J304" s="280" t="n">
        <v>0</v>
      </c>
      <c r="K304" s="280" t="s">
        <v>16</v>
      </c>
      <c r="L304" s="280" t="s">
        <v>520</v>
      </c>
      <c r="M304" s="280"/>
      <c r="N304" s="280" t="s">
        <v>1579</v>
      </c>
      <c r="O304" s="280" t="s">
        <v>1613</v>
      </c>
      <c r="P304" s="280"/>
      <c r="Q304" s="280"/>
      <c r="R304" s="280"/>
      <c r="S304" s="280"/>
      <c r="T304" s="280"/>
      <c r="U304" s="280" t="s">
        <v>520</v>
      </c>
      <c r="V304" s="280"/>
      <c r="W304" s="280"/>
      <c r="X304" s="280"/>
    </row>
    <row r="305" customFormat="false" ht="64.9" hidden="false" customHeight="false" outlineLevel="0" collapsed="false">
      <c r="A305" s="282" t="s">
        <v>309</v>
      </c>
      <c r="B305" s="280" t="s">
        <v>1614</v>
      </c>
      <c r="C305" s="280" t="n">
        <v>0</v>
      </c>
      <c r="D305" s="280" t="n">
        <v>0</v>
      </c>
      <c r="E305" s="280" t="n">
        <v>0</v>
      </c>
      <c r="F305" s="280" t="n">
        <v>0</v>
      </c>
      <c r="G305" s="280" t="n">
        <v>0</v>
      </c>
      <c r="H305" s="280" t="n">
        <v>0</v>
      </c>
      <c r="I305" s="280" t="n">
        <v>1</v>
      </c>
      <c r="J305" s="280" t="n">
        <v>0</v>
      </c>
      <c r="K305" s="280"/>
      <c r="L305" s="280" t="s">
        <v>504</v>
      </c>
      <c r="M305" s="280"/>
      <c r="N305" s="280" t="s">
        <v>1579</v>
      </c>
      <c r="O305" s="280" t="s">
        <v>1615</v>
      </c>
      <c r="P305" s="280"/>
      <c r="Q305" s="280"/>
      <c r="R305" s="280"/>
      <c r="S305" s="280"/>
      <c r="T305" s="280"/>
      <c r="U305" s="280" t="s">
        <v>31</v>
      </c>
      <c r="V305" s="280"/>
      <c r="W305" s="280" t="s">
        <v>538</v>
      </c>
      <c r="X305" s="280" t="n">
        <f aca="false">IF($W305="Critical Importance",20,IF($W305="Minor Importance",5,10))</f>
        <v>20</v>
      </c>
    </row>
    <row r="306" customFormat="false" ht="64.9" hidden="false" customHeight="false" outlineLevel="0" collapsed="false">
      <c r="A306" s="282" t="s">
        <v>310</v>
      </c>
      <c r="B306" s="280" t="s">
        <v>1616</v>
      </c>
      <c r="C306" s="280" t="n">
        <v>0</v>
      </c>
      <c r="D306" s="280" t="n">
        <v>0</v>
      </c>
      <c r="E306" s="280" t="n">
        <v>0</v>
      </c>
      <c r="F306" s="280" t="n">
        <v>0</v>
      </c>
      <c r="G306" s="280" t="n">
        <v>0</v>
      </c>
      <c r="H306" s="280" t="n">
        <v>0</v>
      </c>
      <c r="I306" s="280" t="n">
        <v>1</v>
      </c>
      <c r="J306" s="280" t="n">
        <v>0</v>
      </c>
      <c r="K306" s="280"/>
      <c r="L306" s="280" t="s">
        <v>504</v>
      </c>
      <c r="M306" s="280"/>
      <c r="N306" s="280" t="s">
        <v>1579</v>
      </c>
      <c r="O306" s="280" t="s">
        <v>1617</v>
      </c>
      <c r="P306" s="280"/>
      <c r="Q306" s="280"/>
      <c r="R306" s="280"/>
      <c r="S306" s="280"/>
      <c r="T306" s="280"/>
      <c r="U306" s="280" t="s">
        <v>31</v>
      </c>
      <c r="V306" s="280"/>
      <c r="W306" s="280" t="s">
        <v>538</v>
      </c>
      <c r="X306" s="280" t="n">
        <f aca="false">IF($W306="Critical Importance",20,IF($W306="Minor Importance",5,10))</f>
        <v>20</v>
      </c>
    </row>
    <row r="307" customFormat="false" ht="64.9" hidden="false" customHeight="false" outlineLevel="0" collapsed="false">
      <c r="A307" s="282" t="s">
        <v>311</v>
      </c>
      <c r="B307" s="280" t="s">
        <v>1618</v>
      </c>
      <c r="C307" s="280" t="n">
        <v>0</v>
      </c>
      <c r="D307" s="280" t="n">
        <v>0</v>
      </c>
      <c r="E307" s="280" t="n">
        <v>0</v>
      </c>
      <c r="F307" s="280" t="n">
        <v>0</v>
      </c>
      <c r="G307" s="280" t="n">
        <v>0</v>
      </c>
      <c r="H307" s="280" t="n">
        <v>0</v>
      </c>
      <c r="I307" s="280" t="n">
        <v>1</v>
      </c>
      <c r="J307" s="280" t="n">
        <v>0</v>
      </c>
      <c r="K307" s="280"/>
      <c r="L307" s="280" t="s">
        <v>504</v>
      </c>
      <c r="M307" s="280"/>
      <c r="N307" s="280" t="s">
        <v>1579</v>
      </c>
      <c r="O307" s="280" t="s">
        <v>1619</v>
      </c>
      <c r="P307" s="280"/>
      <c r="Q307" s="280"/>
      <c r="R307" s="280"/>
      <c r="S307" s="280"/>
      <c r="T307" s="280"/>
      <c r="U307" s="280" t="s">
        <v>31</v>
      </c>
      <c r="V307" s="280"/>
      <c r="W307" s="280" t="s">
        <v>538</v>
      </c>
      <c r="X307" s="280" t="n">
        <f aca="false">IF($W307="Critical Importance",20,IF($W307="Minor Importance",5,10))</f>
        <v>20</v>
      </c>
    </row>
    <row r="308" customFormat="false" ht="64.9" hidden="false" customHeight="false" outlineLevel="0" collapsed="false">
      <c r="A308" s="282" t="s">
        <v>312</v>
      </c>
      <c r="B308" s="280" t="s">
        <v>1620</v>
      </c>
      <c r="C308" s="280" t="n">
        <v>0</v>
      </c>
      <c r="D308" s="280" t="n">
        <v>0</v>
      </c>
      <c r="E308" s="280" t="n">
        <v>0</v>
      </c>
      <c r="F308" s="280" t="n">
        <v>0</v>
      </c>
      <c r="G308" s="280" t="n">
        <v>0</v>
      </c>
      <c r="H308" s="280" t="n">
        <v>0</v>
      </c>
      <c r="I308" s="280" t="n">
        <v>1</v>
      </c>
      <c r="J308" s="280" t="n">
        <v>0</v>
      </c>
      <c r="K308" s="280"/>
      <c r="L308" s="280" t="s">
        <v>520</v>
      </c>
      <c r="M308" s="280"/>
      <c r="N308" s="280" t="s">
        <v>1579</v>
      </c>
      <c r="O308" s="280" t="s">
        <v>1621</v>
      </c>
      <c r="P308" s="280"/>
      <c r="Q308" s="280"/>
      <c r="R308" s="280"/>
      <c r="S308" s="280"/>
      <c r="T308" s="280"/>
      <c r="U308" s="280" t="s">
        <v>520</v>
      </c>
      <c r="V308" s="280"/>
      <c r="W308" s="280"/>
      <c r="X308" s="280"/>
    </row>
    <row r="309" customFormat="false" ht="90.25" hidden="false" customHeight="false" outlineLevel="0" collapsed="false">
      <c r="A309" s="282" t="s">
        <v>313</v>
      </c>
      <c r="B309" s="280" t="s">
        <v>1622</v>
      </c>
      <c r="C309" s="280" t="n">
        <v>0</v>
      </c>
      <c r="D309" s="280" t="n">
        <v>0</v>
      </c>
      <c r="E309" s="280" t="n">
        <v>0</v>
      </c>
      <c r="F309" s="280" t="n">
        <v>0</v>
      </c>
      <c r="G309" s="280" t="n">
        <v>0</v>
      </c>
      <c r="H309" s="280" t="n">
        <v>0</v>
      </c>
      <c r="I309" s="280" t="n">
        <v>1</v>
      </c>
      <c r="J309" s="280" t="n">
        <v>0</v>
      </c>
      <c r="K309" s="280"/>
      <c r="L309" s="280" t="s">
        <v>504</v>
      </c>
      <c r="M309" s="280"/>
      <c r="N309" s="280" t="s">
        <v>1579</v>
      </c>
      <c r="O309" s="280" t="s">
        <v>1623</v>
      </c>
      <c r="P309" s="280"/>
      <c r="Q309" s="280"/>
      <c r="R309" s="280"/>
      <c r="S309" s="280"/>
      <c r="T309" s="280"/>
      <c r="U309" s="280" t="s">
        <v>31</v>
      </c>
      <c r="V309" s="280"/>
      <c r="W309" s="280" t="s">
        <v>594</v>
      </c>
      <c r="X309" s="280" t="n">
        <f aca="false">IF($W309="Critical Importance",20,IF($W309="Minor Importance",5,10))</f>
        <v>10</v>
      </c>
    </row>
    <row r="310" customFormat="false" ht="77.6" hidden="false" customHeight="false" outlineLevel="0" collapsed="false">
      <c r="A310" s="282" t="s">
        <v>314</v>
      </c>
      <c r="B310" s="280" t="s">
        <v>1624</v>
      </c>
      <c r="C310" s="280" t="n">
        <v>0</v>
      </c>
      <c r="D310" s="280" t="n">
        <v>0</v>
      </c>
      <c r="E310" s="280" t="n">
        <v>0</v>
      </c>
      <c r="F310" s="280" t="n">
        <v>0</v>
      </c>
      <c r="G310" s="280" t="n">
        <v>0</v>
      </c>
      <c r="H310" s="280" t="n">
        <v>0</v>
      </c>
      <c r="I310" s="280" t="n">
        <v>1</v>
      </c>
      <c r="J310" s="280" t="n">
        <v>0</v>
      </c>
      <c r="K310" s="280"/>
      <c r="L310" s="280" t="s">
        <v>504</v>
      </c>
      <c r="M310" s="280"/>
      <c r="N310" s="280" t="s">
        <v>1579</v>
      </c>
      <c r="O310" s="280" t="s">
        <v>1625</v>
      </c>
      <c r="P310" s="280"/>
      <c r="Q310" s="280"/>
      <c r="R310" s="280"/>
      <c r="S310" s="280" t="s">
        <v>1626</v>
      </c>
      <c r="T310" s="280" t="s">
        <v>1626</v>
      </c>
      <c r="U310" s="280" t="s">
        <v>31</v>
      </c>
      <c r="V310" s="280"/>
      <c r="W310" s="280" t="s">
        <v>538</v>
      </c>
      <c r="X310" s="280" t="n">
        <f aca="false">IF($W310="Critical Importance",20,IF($W310="Minor Importance",5,10))</f>
        <v>20</v>
      </c>
    </row>
    <row r="311" customFormat="false" ht="64.9" hidden="false" customHeight="false" outlineLevel="0" collapsed="false">
      <c r="A311" s="282" t="s">
        <v>315</v>
      </c>
      <c r="B311" s="280" t="s">
        <v>1627</v>
      </c>
      <c r="C311" s="280" t="n">
        <v>0</v>
      </c>
      <c r="D311" s="280" t="n">
        <v>0</v>
      </c>
      <c r="E311" s="280" t="n">
        <v>0</v>
      </c>
      <c r="F311" s="280" t="n">
        <v>0</v>
      </c>
      <c r="G311" s="280" t="n">
        <v>0</v>
      </c>
      <c r="H311" s="280" t="n">
        <v>0</v>
      </c>
      <c r="I311" s="280" t="n">
        <v>1</v>
      </c>
      <c r="J311" s="280" t="n">
        <v>0</v>
      </c>
      <c r="K311" s="280"/>
      <c r="L311" s="280" t="s">
        <v>504</v>
      </c>
      <c r="M311" s="280"/>
      <c r="N311" s="280" t="s">
        <v>1579</v>
      </c>
      <c r="O311" s="280" t="s">
        <v>1628</v>
      </c>
      <c r="P311" s="280"/>
      <c r="Q311" s="280"/>
      <c r="R311" s="280"/>
      <c r="S311" s="280"/>
      <c r="T311" s="280"/>
      <c r="U311" s="280" t="s">
        <v>31</v>
      </c>
      <c r="V311" s="280"/>
      <c r="W311" s="280" t="s">
        <v>538</v>
      </c>
      <c r="X311" s="280" t="n">
        <f aca="false">IF($W311="Critical Importance",20,IF($W311="Minor Importance",5,10))</f>
        <v>20</v>
      </c>
    </row>
    <row r="312" customFormat="false" ht="128.25" hidden="false" customHeight="false" outlineLevel="0" collapsed="false">
      <c r="A312" s="282" t="s">
        <v>316</v>
      </c>
      <c r="B312" s="280" t="s">
        <v>1629</v>
      </c>
      <c r="C312" s="280" t="n">
        <v>0</v>
      </c>
      <c r="D312" s="280" t="n">
        <v>0</v>
      </c>
      <c r="E312" s="280" t="n">
        <v>0</v>
      </c>
      <c r="F312" s="280" t="n">
        <v>0</v>
      </c>
      <c r="G312" s="280" t="n">
        <v>0</v>
      </c>
      <c r="H312" s="280" t="n">
        <v>0</v>
      </c>
      <c r="I312" s="280" t="n">
        <v>1</v>
      </c>
      <c r="J312" s="280" t="n">
        <v>0</v>
      </c>
      <c r="K312" s="280"/>
      <c r="L312" s="280" t="s">
        <v>504</v>
      </c>
      <c r="M312" s="280"/>
      <c r="N312" s="280" t="s">
        <v>1579</v>
      </c>
      <c r="O312" s="280" t="s">
        <v>1630</v>
      </c>
      <c r="P312" s="280"/>
      <c r="Q312" s="280"/>
      <c r="R312" s="280"/>
      <c r="S312" s="280"/>
      <c r="T312" s="280"/>
      <c r="U312" s="280" t="s">
        <v>31</v>
      </c>
      <c r="V312" s="280"/>
      <c r="W312" s="280" t="s">
        <v>538</v>
      </c>
      <c r="X312" s="280" t="n">
        <f aca="false">IF($W312="Critical Importance",20,IF($W312="Minor Importance",5,10))</f>
        <v>20</v>
      </c>
    </row>
    <row r="313" customFormat="false" ht="128.25" hidden="false" customHeight="false" outlineLevel="0" collapsed="false">
      <c r="A313" s="282" t="s">
        <v>317</v>
      </c>
      <c r="B313" s="280" t="s">
        <v>1631</v>
      </c>
      <c r="C313" s="280" t="n">
        <v>0</v>
      </c>
      <c r="D313" s="280" t="n">
        <v>0</v>
      </c>
      <c r="E313" s="280" t="n">
        <v>0</v>
      </c>
      <c r="F313" s="280" t="n">
        <v>0</v>
      </c>
      <c r="G313" s="280" t="n">
        <v>0</v>
      </c>
      <c r="H313" s="280" t="n">
        <v>0</v>
      </c>
      <c r="I313" s="280" t="n">
        <v>1</v>
      </c>
      <c r="J313" s="280" t="n">
        <v>0</v>
      </c>
      <c r="K313" s="280"/>
      <c r="L313" s="280" t="s">
        <v>504</v>
      </c>
      <c r="M313" s="280"/>
      <c r="N313" s="280" t="s">
        <v>1579</v>
      </c>
      <c r="O313" s="280" t="s">
        <v>1632</v>
      </c>
      <c r="P313" s="280"/>
      <c r="Q313" s="280"/>
      <c r="R313" s="280" t="s">
        <v>712</v>
      </c>
      <c r="S313" s="280"/>
      <c r="T313" s="280"/>
      <c r="U313" s="280" t="s">
        <v>31</v>
      </c>
      <c r="V313" s="280"/>
      <c r="W313" s="280" t="s">
        <v>538</v>
      </c>
      <c r="X313" s="280" t="n">
        <f aca="false">IF($W313="Critical Importance",20,IF($W313="Minor Importance",5,10))</f>
        <v>20</v>
      </c>
    </row>
    <row r="314" customFormat="false" ht="64.9" hidden="false" customHeight="false" outlineLevel="0" collapsed="false">
      <c r="A314" s="282" t="s">
        <v>318</v>
      </c>
      <c r="B314" s="280" t="s">
        <v>1633</v>
      </c>
      <c r="C314" s="280" t="n">
        <v>0</v>
      </c>
      <c r="D314" s="280" t="n">
        <v>0</v>
      </c>
      <c r="E314" s="280" t="n">
        <v>0</v>
      </c>
      <c r="F314" s="280" t="n">
        <v>0</v>
      </c>
      <c r="G314" s="280" t="n">
        <v>0</v>
      </c>
      <c r="H314" s="280" t="n">
        <v>0</v>
      </c>
      <c r="I314" s="280" t="n">
        <v>1</v>
      </c>
      <c r="J314" s="280" t="n">
        <v>0</v>
      </c>
      <c r="K314" s="280"/>
      <c r="L314" s="280" t="s">
        <v>504</v>
      </c>
      <c r="M314" s="280"/>
      <c r="N314" s="280" t="s">
        <v>1579</v>
      </c>
      <c r="O314" s="280" t="s">
        <v>1634</v>
      </c>
      <c r="P314" s="280"/>
      <c r="Q314" s="280"/>
      <c r="R314" s="280"/>
      <c r="S314" s="280"/>
      <c r="T314" s="280"/>
      <c r="U314" s="280" t="s">
        <v>31</v>
      </c>
      <c r="V314" s="280"/>
      <c r="W314" s="280" t="s">
        <v>547</v>
      </c>
      <c r="X314" s="280" t="n">
        <f aca="false">IF($W314="Critical Importance",20,IF($W314="Minor Importance",5,10))</f>
        <v>5</v>
      </c>
    </row>
    <row r="315" customFormat="false" ht="64.9" hidden="false" customHeight="false" outlineLevel="0" collapsed="false">
      <c r="A315" s="282" t="s">
        <v>319</v>
      </c>
      <c r="B315" s="280" t="s">
        <v>1635</v>
      </c>
      <c r="C315" s="280" t="n">
        <v>0</v>
      </c>
      <c r="D315" s="280" t="n">
        <v>0</v>
      </c>
      <c r="E315" s="280" t="n">
        <v>0</v>
      </c>
      <c r="F315" s="280" t="n">
        <v>0</v>
      </c>
      <c r="G315" s="280" t="n">
        <v>0</v>
      </c>
      <c r="H315" s="280" t="n">
        <v>0</v>
      </c>
      <c r="I315" s="280" t="n">
        <v>1</v>
      </c>
      <c r="J315" s="280" t="n">
        <v>0</v>
      </c>
      <c r="K315" s="280"/>
      <c r="L315" s="280" t="s">
        <v>504</v>
      </c>
      <c r="M315" s="280"/>
      <c r="N315" s="280" t="s">
        <v>1579</v>
      </c>
      <c r="O315" s="280" t="s">
        <v>1636</v>
      </c>
      <c r="P315" s="280"/>
      <c r="Q315" s="280"/>
      <c r="R315" s="280"/>
      <c r="S315" s="280" t="s">
        <v>1626</v>
      </c>
      <c r="T315" s="280" t="s">
        <v>1626</v>
      </c>
      <c r="U315" s="280" t="s">
        <v>31</v>
      </c>
      <c r="V315" s="280"/>
      <c r="W315" s="280" t="s">
        <v>538</v>
      </c>
      <c r="X315" s="280" t="n">
        <f aca="false">IF($W315="Critical Importance",20,IF($W315="Minor Importance",5,10))</f>
        <v>20</v>
      </c>
    </row>
    <row r="316" customFormat="false" ht="64.9" hidden="false" customHeight="false" outlineLevel="0" collapsed="false">
      <c r="A316" s="282" t="s">
        <v>320</v>
      </c>
      <c r="B316" s="280" t="s">
        <v>1637</v>
      </c>
      <c r="C316" s="280" t="n">
        <v>0</v>
      </c>
      <c r="D316" s="280" t="n">
        <v>0</v>
      </c>
      <c r="E316" s="280" t="n">
        <v>0</v>
      </c>
      <c r="F316" s="280" t="n">
        <v>0</v>
      </c>
      <c r="G316" s="280" t="n">
        <v>0</v>
      </c>
      <c r="H316" s="280" t="n">
        <v>0</v>
      </c>
      <c r="I316" s="280" t="n">
        <v>1</v>
      </c>
      <c r="J316" s="280" t="n">
        <v>0</v>
      </c>
      <c r="K316" s="280"/>
      <c r="L316" s="280" t="s">
        <v>504</v>
      </c>
      <c r="M316" s="280"/>
      <c r="N316" s="280" t="s">
        <v>1579</v>
      </c>
      <c r="O316" s="280" t="s">
        <v>1638</v>
      </c>
      <c r="P316" s="280"/>
      <c r="Q316" s="280"/>
      <c r="R316" s="280"/>
      <c r="S316" s="280"/>
      <c r="T316" s="280"/>
      <c r="U316" s="280" t="s">
        <v>26</v>
      </c>
      <c r="V316" s="280"/>
      <c r="W316" s="280" t="s">
        <v>538</v>
      </c>
      <c r="X316" s="280" t="n">
        <f aca="false">IF($W316="Critical Importance",20,IF($W316="Minor Importance",5,10))</f>
        <v>20</v>
      </c>
    </row>
    <row r="317" customFormat="false" ht="64.9" hidden="false" customHeight="false" outlineLevel="0" collapsed="false">
      <c r="A317" s="282" t="s">
        <v>321</v>
      </c>
      <c r="B317" s="280" t="s">
        <v>1639</v>
      </c>
      <c r="C317" s="280" t="n">
        <v>0</v>
      </c>
      <c r="D317" s="280" t="n">
        <v>0</v>
      </c>
      <c r="E317" s="280" t="n">
        <v>0</v>
      </c>
      <c r="F317" s="280" t="n">
        <v>0</v>
      </c>
      <c r="G317" s="280" t="n">
        <v>0</v>
      </c>
      <c r="H317" s="280" t="n">
        <v>0</v>
      </c>
      <c r="I317" s="280" t="n">
        <v>1</v>
      </c>
      <c r="J317" s="280" t="n">
        <v>0</v>
      </c>
      <c r="K317" s="280"/>
      <c r="L317" s="280" t="s">
        <v>504</v>
      </c>
      <c r="M317" s="280"/>
      <c r="N317" s="280" t="s">
        <v>1579</v>
      </c>
      <c r="O317" s="280" t="s">
        <v>1640</v>
      </c>
      <c r="P317" s="280"/>
      <c r="Q317" s="280"/>
      <c r="R317" s="280"/>
      <c r="S317" s="280"/>
      <c r="T317" s="280"/>
      <c r="U317" s="280" t="s">
        <v>31</v>
      </c>
      <c r="V317" s="280"/>
      <c r="W317" s="280" t="s">
        <v>538</v>
      </c>
      <c r="X317" s="280" t="n">
        <f aca="false">IF($W317="Critical Importance",20,IF($W317="Minor Importance",5,10))</f>
        <v>20</v>
      </c>
    </row>
    <row r="318" customFormat="false" ht="64.9" hidden="false" customHeight="false" outlineLevel="0" collapsed="false">
      <c r="A318" s="282" t="s">
        <v>322</v>
      </c>
      <c r="B318" s="280" t="s">
        <v>1641</v>
      </c>
      <c r="C318" s="280" t="n">
        <v>0</v>
      </c>
      <c r="D318" s="280" t="n">
        <v>0</v>
      </c>
      <c r="E318" s="280" t="n">
        <v>0</v>
      </c>
      <c r="F318" s="280" t="n">
        <v>0</v>
      </c>
      <c r="G318" s="280" t="n">
        <v>0</v>
      </c>
      <c r="H318" s="280" t="n">
        <v>0</v>
      </c>
      <c r="I318" s="280" t="n">
        <v>1</v>
      </c>
      <c r="J318" s="280" t="n">
        <v>0</v>
      </c>
      <c r="K318" s="280"/>
      <c r="L318" s="280" t="s">
        <v>520</v>
      </c>
      <c r="M318" s="280"/>
      <c r="N318" s="280" t="s">
        <v>1579</v>
      </c>
      <c r="O318" s="280" t="s">
        <v>1642</v>
      </c>
      <c r="P318" s="280"/>
      <c r="Q318" s="280"/>
      <c r="R318" s="280"/>
      <c r="S318" s="280"/>
      <c r="T318" s="280"/>
      <c r="U318" s="280" t="s">
        <v>520</v>
      </c>
      <c r="V318" s="280"/>
      <c r="W318" s="280"/>
      <c r="X318" s="280"/>
    </row>
    <row r="319" customFormat="false" ht="64.9" hidden="false" customHeight="false" outlineLevel="0" collapsed="false">
      <c r="A319" s="282" t="s">
        <v>323</v>
      </c>
      <c r="B319" s="280" t="s">
        <v>1643</v>
      </c>
      <c r="C319" s="280" t="n">
        <v>0</v>
      </c>
      <c r="D319" s="280" t="n">
        <v>0</v>
      </c>
      <c r="E319" s="280" t="n">
        <v>0</v>
      </c>
      <c r="F319" s="280" t="n">
        <v>0</v>
      </c>
      <c r="G319" s="280" t="n">
        <v>0</v>
      </c>
      <c r="H319" s="280" t="n">
        <v>0</v>
      </c>
      <c r="I319" s="280" t="n">
        <v>1</v>
      </c>
      <c r="J319" s="280" t="n">
        <v>0</v>
      </c>
      <c r="K319" s="280"/>
      <c r="L319" s="280" t="s">
        <v>504</v>
      </c>
      <c r="M319" s="280"/>
      <c r="N319" s="280" t="s">
        <v>1579</v>
      </c>
      <c r="O319" s="280" t="s">
        <v>1644</v>
      </c>
      <c r="P319" s="280"/>
      <c r="Q319" s="280"/>
      <c r="R319" s="280"/>
      <c r="S319" s="280"/>
      <c r="T319" s="280"/>
      <c r="U319" s="280" t="s">
        <v>31</v>
      </c>
      <c r="V319" s="280"/>
      <c r="W319" s="280" t="s">
        <v>594</v>
      </c>
      <c r="X319" s="280" t="n">
        <f aca="false">IF($W319="Critical Importance",20,IF($W319="Minor Importance",5,10))</f>
        <v>10</v>
      </c>
    </row>
    <row r="320" customFormat="false" ht="77.6" hidden="false" customHeight="false" outlineLevel="0" collapsed="false">
      <c r="A320" s="282" t="s">
        <v>324</v>
      </c>
      <c r="B320" s="280" t="s">
        <v>1645</v>
      </c>
      <c r="C320" s="280" t="n">
        <v>0</v>
      </c>
      <c r="D320" s="280" t="n">
        <v>0</v>
      </c>
      <c r="E320" s="280" t="n">
        <v>0</v>
      </c>
      <c r="F320" s="280" t="n">
        <v>0</v>
      </c>
      <c r="G320" s="280" t="n">
        <v>0</v>
      </c>
      <c r="H320" s="280" t="n">
        <v>0</v>
      </c>
      <c r="I320" s="280" t="n">
        <v>1</v>
      </c>
      <c r="J320" s="280" t="n">
        <v>0</v>
      </c>
      <c r="K320" s="280"/>
      <c r="L320" s="280" t="s">
        <v>504</v>
      </c>
      <c r="M320" s="280"/>
      <c r="N320" s="280" t="s">
        <v>1646</v>
      </c>
      <c r="O320" s="280" t="s">
        <v>1647</v>
      </c>
      <c r="P320" s="280"/>
      <c r="Q320" s="280"/>
      <c r="R320" s="280"/>
      <c r="S320" s="280" t="s">
        <v>1626</v>
      </c>
      <c r="T320" s="280" t="s">
        <v>1626</v>
      </c>
      <c r="U320" s="280" t="s">
        <v>31</v>
      </c>
      <c r="V320" s="280"/>
      <c r="W320" s="280" t="s">
        <v>538</v>
      </c>
      <c r="X320" s="280" t="n">
        <f aca="false">IF($W320="Critical Importance",20,IF($W320="Minor Importance",5,10))</f>
        <v>20</v>
      </c>
    </row>
    <row r="321" customFormat="false" ht="77.6" hidden="false" customHeight="false" outlineLevel="0" collapsed="false">
      <c r="A321" s="282" t="s">
        <v>325</v>
      </c>
      <c r="B321" s="280" t="s">
        <v>1648</v>
      </c>
      <c r="C321" s="280" t="n">
        <v>0</v>
      </c>
      <c r="D321" s="280" t="n">
        <v>0</v>
      </c>
      <c r="E321" s="280" t="n">
        <v>0</v>
      </c>
      <c r="F321" s="280" t="n">
        <v>0</v>
      </c>
      <c r="G321" s="280" t="n">
        <v>0</v>
      </c>
      <c r="H321" s="280" t="n">
        <v>0</v>
      </c>
      <c r="I321" s="280" t="n">
        <v>1</v>
      </c>
      <c r="J321" s="280" t="n">
        <v>0</v>
      </c>
      <c r="K321" s="280"/>
      <c r="L321" s="280" t="s">
        <v>504</v>
      </c>
      <c r="M321" s="280"/>
      <c r="N321" s="280" t="s">
        <v>1646</v>
      </c>
      <c r="O321" s="280" t="s">
        <v>1649</v>
      </c>
      <c r="P321" s="280"/>
      <c r="Q321" s="280"/>
      <c r="R321" s="280"/>
      <c r="S321" s="280"/>
      <c r="T321" s="280"/>
      <c r="U321" s="280" t="s">
        <v>31</v>
      </c>
      <c r="V321" s="280"/>
      <c r="W321" s="280" t="s">
        <v>538</v>
      </c>
      <c r="X321" s="280" t="n">
        <f aca="false">IF($W321="Critical Importance",20,IF($W321="Minor Importance",5,10))</f>
        <v>20</v>
      </c>
    </row>
    <row r="322" customFormat="false" ht="144.75" hidden="false" customHeight="true" outlineLevel="0" collapsed="false">
      <c r="A322" s="282" t="s">
        <v>326</v>
      </c>
      <c r="B322" s="280" t="s">
        <v>1650</v>
      </c>
      <c r="C322" s="280" t="n">
        <v>0</v>
      </c>
      <c r="D322" s="280" t="n">
        <v>0</v>
      </c>
      <c r="E322" s="280" t="n">
        <v>0</v>
      </c>
      <c r="F322" s="280" t="n">
        <v>0</v>
      </c>
      <c r="G322" s="280" t="n">
        <v>0</v>
      </c>
      <c r="H322" s="280" t="n">
        <v>0</v>
      </c>
      <c r="I322" s="280" t="n">
        <v>1</v>
      </c>
      <c r="J322" s="280" t="n">
        <v>0</v>
      </c>
      <c r="K322" s="280"/>
      <c r="L322" s="280" t="s">
        <v>504</v>
      </c>
      <c r="M322" s="280"/>
      <c r="N322" s="280" t="s">
        <v>1646</v>
      </c>
      <c r="O322" s="280" t="s">
        <v>1651</v>
      </c>
      <c r="P322" s="280"/>
      <c r="Q322" s="280"/>
      <c r="R322" s="280"/>
      <c r="S322" s="280"/>
      <c r="T322" s="280"/>
      <c r="U322" s="280" t="s">
        <v>31</v>
      </c>
      <c r="V322" s="280"/>
      <c r="W322" s="280" t="s">
        <v>594</v>
      </c>
      <c r="X322" s="280" t="n">
        <f aca="false">IF($W322="Critical Importance",20,IF($W322="Minor Importance",5,10))</f>
        <v>10</v>
      </c>
    </row>
    <row r="323" customFormat="false" ht="90" hidden="false" customHeight="true" outlineLevel="0" collapsed="false">
      <c r="A323" s="282" t="s">
        <v>327</v>
      </c>
      <c r="B323" s="280" t="s">
        <v>1652</v>
      </c>
      <c r="C323" s="280" t="n">
        <v>0</v>
      </c>
      <c r="D323" s="280" t="n">
        <v>0</v>
      </c>
      <c r="E323" s="280" t="n">
        <v>0</v>
      </c>
      <c r="F323" s="280" t="n">
        <v>0</v>
      </c>
      <c r="G323" s="280" t="n">
        <v>0</v>
      </c>
      <c r="H323" s="280" t="n">
        <v>0</v>
      </c>
      <c r="I323" s="280" t="n">
        <v>1</v>
      </c>
      <c r="J323" s="280" t="n">
        <v>0</v>
      </c>
      <c r="K323" s="280"/>
      <c r="L323" s="280" t="s">
        <v>504</v>
      </c>
      <c r="M323" s="280"/>
      <c r="N323" s="280" t="s">
        <v>1646</v>
      </c>
      <c r="O323" s="280" t="s">
        <v>1653</v>
      </c>
      <c r="P323" s="280"/>
      <c r="Q323" s="280"/>
      <c r="R323" s="280"/>
      <c r="S323" s="280"/>
      <c r="T323" s="280"/>
      <c r="U323" s="280" t="s">
        <v>31</v>
      </c>
      <c r="V323" s="280"/>
      <c r="W323" s="280" t="s">
        <v>594</v>
      </c>
      <c r="X323" s="280" t="n">
        <f aca="false">IF($W323="Critical Importance",20,IF($W323="Minor Importance",5,10))</f>
        <v>10</v>
      </c>
    </row>
    <row r="324" customFormat="false" ht="90" hidden="false" customHeight="true" outlineLevel="0" collapsed="false">
      <c r="A324" s="282" t="s">
        <v>328</v>
      </c>
      <c r="B324" s="280" t="s">
        <v>1654</v>
      </c>
      <c r="C324" s="280" t="n">
        <v>0</v>
      </c>
      <c r="D324" s="280" t="n">
        <v>0</v>
      </c>
      <c r="E324" s="280" t="n">
        <v>0</v>
      </c>
      <c r="F324" s="280" t="n">
        <v>0</v>
      </c>
      <c r="G324" s="280" t="n">
        <v>0</v>
      </c>
      <c r="H324" s="280" t="n">
        <v>0</v>
      </c>
      <c r="I324" s="280" t="n">
        <v>1</v>
      </c>
      <c r="J324" s="280" t="n">
        <v>0</v>
      </c>
      <c r="K324" s="280"/>
      <c r="L324" s="280" t="s">
        <v>504</v>
      </c>
      <c r="M324" s="280"/>
      <c r="N324" s="280" t="s">
        <v>1646</v>
      </c>
      <c r="O324" s="280" t="s">
        <v>1655</v>
      </c>
      <c r="P324" s="280"/>
      <c r="Q324" s="280"/>
      <c r="R324" s="280"/>
      <c r="S324" s="280"/>
      <c r="T324" s="280"/>
      <c r="U324" s="280" t="s">
        <v>31</v>
      </c>
      <c r="V324" s="280"/>
      <c r="W324" s="280" t="s">
        <v>547</v>
      </c>
      <c r="X324" s="280" t="n">
        <f aca="false">IF($W324="Critical Importance",20,IF($W324="Minor Importance",5,10))</f>
        <v>5</v>
      </c>
    </row>
    <row r="325" customFormat="false" ht="90" hidden="false" customHeight="true" outlineLevel="0" collapsed="false">
      <c r="A325" s="282" t="s">
        <v>329</v>
      </c>
      <c r="B325" s="280" t="s">
        <v>1656</v>
      </c>
      <c r="C325" s="280" t="n">
        <v>0</v>
      </c>
      <c r="D325" s="280" t="n">
        <v>0</v>
      </c>
      <c r="E325" s="280" t="n">
        <v>0</v>
      </c>
      <c r="F325" s="280" t="n">
        <v>0</v>
      </c>
      <c r="G325" s="280" t="n">
        <v>0</v>
      </c>
      <c r="H325" s="280" t="n">
        <v>0</v>
      </c>
      <c r="I325" s="280" t="n">
        <v>1</v>
      </c>
      <c r="J325" s="280" t="n">
        <v>0</v>
      </c>
      <c r="K325" s="280"/>
      <c r="L325" s="280" t="s">
        <v>504</v>
      </c>
      <c r="M325" s="280"/>
      <c r="N325" s="280" t="s">
        <v>1646</v>
      </c>
      <c r="O325" s="280" t="s">
        <v>1657</v>
      </c>
      <c r="P325" s="280"/>
      <c r="Q325" s="280"/>
      <c r="R325" s="280"/>
      <c r="S325" s="280"/>
      <c r="T325" s="280"/>
      <c r="U325" s="280" t="s">
        <v>31</v>
      </c>
      <c r="V325" s="280"/>
      <c r="W325" s="280" t="s">
        <v>547</v>
      </c>
      <c r="X325" s="280" t="n">
        <f aca="false">IF($W325="Critical Importance",20,IF($W325="Minor Importance",5,10))</f>
        <v>5</v>
      </c>
    </row>
    <row r="326" customFormat="false" ht="115.65" hidden="false" customHeight="false" outlineLevel="0" collapsed="false">
      <c r="A326" s="282" t="s">
        <v>330</v>
      </c>
      <c r="B326" s="280" t="s">
        <v>1658</v>
      </c>
      <c r="C326" s="280" t="n">
        <v>0</v>
      </c>
      <c r="D326" s="280" t="n">
        <v>0</v>
      </c>
      <c r="E326" s="280" t="n">
        <v>0</v>
      </c>
      <c r="F326" s="280" t="n">
        <v>0</v>
      </c>
      <c r="G326" s="280" t="n">
        <v>0</v>
      </c>
      <c r="H326" s="280" t="n">
        <v>0</v>
      </c>
      <c r="I326" s="280" t="n">
        <v>1</v>
      </c>
      <c r="J326" s="280" t="n">
        <v>0</v>
      </c>
      <c r="K326" s="280"/>
      <c r="L326" s="280" t="s">
        <v>504</v>
      </c>
      <c r="M326" s="280"/>
      <c r="N326" s="280" t="s">
        <v>1646</v>
      </c>
      <c r="O326" s="280" t="s">
        <v>1659</v>
      </c>
      <c r="P326" s="280"/>
      <c r="Q326" s="280"/>
      <c r="R326" s="280"/>
      <c r="S326" s="280"/>
      <c r="T326" s="280"/>
      <c r="U326" s="280" t="s">
        <v>31</v>
      </c>
      <c r="V326" s="280"/>
      <c r="W326" s="280" t="s">
        <v>547</v>
      </c>
      <c r="X326" s="280" t="n">
        <f aca="false">IF($W326="Critical Importance",20,IF($W326="Minor Importance",5,10))</f>
        <v>5</v>
      </c>
    </row>
    <row r="327" customFormat="false" ht="90" hidden="false" customHeight="true" outlineLevel="0" collapsed="false">
      <c r="A327" s="282" t="s">
        <v>331</v>
      </c>
      <c r="B327" s="280" t="s">
        <v>1660</v>
      </c>
      <c r="C327" s="280" t="n">
        <v>0</v>
      </c>
      <c r="D327" s="280" t="n">
        <v>0</v>
      </c>
      <c r="E327" s="280" t="n">
        <v>0</v>
      </c>
      <c r="F327" s="280" t="n">
        <v>0</v>
      </c>
      <c r="G327" s="280" t="n">
        <v>0</v>
      </c>
      <c r="H327" s="280" t="n">
        <v>0</v>
      </c>
      <c r="I327" s="280" t="n">
        <v>1</v>
      </c>
      <c r="J327" s="280" t="n">
        <v>0</v>
      </c>
      <c r="K327" s="280"/>
      <c r="L327" s="280" t="s">
        <v>504</v>
      </c>
      <c r="M327" s="280"/>
      <c r="N327" s="280" t="s">
        <v>1646</v>
      </c>
      <c r="O327" s="280" t="s">
        <v>1661</v>
      </c>
      <c r="P327" s="280"/>
      <c r="Q327" s="280"/>
      <c r="R327" s="280"/>
      <c r="S327" s="280"/>
      <c r="T327" s="280"/>
      <c r="U327" s="280" t="s">
        <v>31</v>
      </c>
      <c r="V327" s="280"/>
      <c r="W327" s="280" t="s">
        <v>547</v>
      </c>
      <c r="X327" s="280" t="n">
        <f aca="false">IF($W327="Critical Importance",20,IF($W327="Minor Importance",5,10))</f>
        <v>5</v>
      </c>
    </row>
    <row r="328" customFormat="false" ht="90" hidden="false" customHeight="true" outlineLevel="0" collapsed="false">
      <c r="A328" s="282" t="s">
        <v>332</v>
      </c>
      <c r="B328" s="280" t="s">
        <v>1662</v>
      </c>
      <c r="C328" s="280" t="n">
        <v>0</v>
      </c>
      <c r="D328" s="280" t="n">
        <v>0</v>
      </c>
      <c r="E328" s="280" t="n">
        <v>0</v>
      </c>
      <c r="F328" s="280" t="n">
        <v>0</v>
      </c>
      <c r="G328" s="280" t="n">
        <v>0</v>
      </c>
      <c r="H328" s="280" t="n">
        <v>0</v>
      </c>
      <c r="I328" s="280" t="n">
        <v>1</v>
      </c>
      <c r="J328" s="280" t="n">
        <v>0</v>
      </c>
      <c r="K328" s="280"/>
      <c r="L328" s="280" t="s">
        <v>504</v>
      </c>
      <c r="M328" s="280"/>
      <c r="N328" s="280" t="s">
        <v>1646</v>
      </c>
      <c r="O328" s="280" t="s">
        <v>1663</v>
      </c>
      <c r="P328" s="280"/>
      <c r="Q328" s="280"/>
      <c r="R328" s="280"/>
      <c r="S328" s="280" t="s">
        <v>1626</v>
      </c>
      <c r="T328" s="280" t="s">
        <v>1626</v>
      </c>
      <c r="U328" s="280" t="s">
        <v>31</v>
      </c>
      <c r="V328" s="280"/>
      <c r="W328" s="280" t="s">
        <v>538</v>
      </c>
      <c r="X328" s="280" t="n">
        <f aca="false">IF($W328="Critical Importance",20,IF($W328="Minor Importance",5,10))</f>
        <v>20</v>
      </c>
    </row>
    <row r="329" customFormat="false" ht="128.25" hidden="false" customHeight="false" outlineLevel="0" collapsed="false">
      <c r="A329" s="282" t="s">
        <v>333</v>
      </c>
      <c r="B329" s="280" t="s">
        <v>1664</v>
      </c>
      <c r="C329" s="280" t="n">
        <v>0</v>
      </c>
      <c r="D329" s="280" t="n">
        <v>0</v>
      </c>
      <c r="E329" s="280" t="n">
        <v>0</v>
      </c>
      <c r="F329" s="280" t="n">
        <v>0</v>
      </c>
      <c r="G329" s="280" t="n">
        <v>0</v>
      </c>
      <c r="H329" s="280" t="n">
        <v>0</v>
      </c>
      <c r="I329" s="280" t="n">
        <v>1</v>
      </c>
      <c r="J329" s="280" t="n">
        <v>0</v>
      </c>
      <c r="K329" s="280"/>
      <c r="L329" s="280" t="s">
        <v>504</v>
      </c>
      <c r="M329" s="280"/>
      <c r="N329" s="280" t="s">
        <v>1665</v>
      </c>
      <c r="O329" s="280" t="s">
        <v>1666</v>
      </c>
      <c r="P329" s="280"/>
      <c r="Q329" s="280"/>
      <c r="R329" s="280"/>
      <c r="S329" s="280"/>
      <c r="T329" s="280"/>
      <c r="U329" s="280" t="s">
        <v>31</v>
      </c>
      <c r="V329" s="280"/>
      <c r="W329" s="280" t="s">
        <v>538</v>
      </c>
      <c r="X329" s="280" t="n">
        <f aca="false">IF($W329="Critical Importance",20,IF($W329="Minor Importance",5,10))</f>
        <v>20</v>
      </c>
    </row>
    <row r="330" customFormat="false" ht="90" hidden="false" customHeight="true" outlineLevel="0" collapsed="false">
      <c r="A330" s="282" t="s">
        <v>334</v>
      </c>
      <c r="B330" s="280" t="s">
        <v>1667</v>
      </c>
      <c r="C330" s="280" t="n">
        <v>0</v>
      </c>
      <c r="D330" s="280" t="n">
        <v>0</v>
      </c>
      <c r="E330" s="280" t="n">
        <v>0</v>
      </c>
      <c r="F330" s="280" t="n">
        <v>0</v>
      </c>
      <c r="G330" s="280" t="n">
        <v>0</v>
      </c>
      <c r="H330" s="280" t="n">
        <v>0</v>
      </c>
      <c r="I330" s="280" t="n">
        <v>1</v>
      </c>
      <c r="J330" s="280" t="n">
        <v>0</v>
      </c>
      <c r="K330" s="280"/>
      <c r="L330" s="280" t="s">
        <v>504</v>
      </c>
      <c r="M330" s="280"/>
      <c r="N330" s="280" t="s">
        <v>1665</v>
      </c>
      <c r="O330" s="280" t="s">
        <v>1668</v>
      </c>
      <c r="P330" s="280"/>
      <c r="Q330" s="280"/>
      <c r="R330" s="280"/>
      <c r="S330" s="280"/>
      <c r="T330" s="280"/>
      <c r="U330" s="280" t="s">
        <v>31</v>
      </c>
      <c r="V330" s="280"/>
      <c r="W330" s="280" t="s">
        <v>538</v>
      </c>
      <c r="X330" s="280" t="n">
        <f aca="false">IF($W330="Critical Importance",20,IF($W330="Minor Importance",5,10))</f>
        <v>20</v>
      </c>
    </row>
    <row r="331" customFormat="false" ht="90" hidden="false" customHeight="true" outlineLevel="0" collapsed="false">
      <c r="A331" s="282" t="s">
        <v>335</v>
      </c>
      <c r="B331" s="280" t="s">
        <v>1669</v>
      </c>
      <c r="C331" s="280" t="n">
        <v>0</v>
      </c>
      <c r="D331" s="280" t="n">
        <v>0</v>
      </c>
      <c r="E331" s="280" t="n">
        <v>0</v>
      </c>
      <c r="F331" s="280" t="n">
        <v>0</v>
      </c>
      <c r="G331" s="280" t="n">
        <v>0</v>
      </c>
      <c r="H331" s="280" t="n">
        <v>0</v>
      </c>
      <c r="I331" s="280" t="n">
        <v>1</v>
      </c>
      <c r="J331" s="280" t="n">
        <v>0</v>
      </c>
      <c r="K331" s="280"/>
      <c r="L331" s="280" t="s">
        <v>504</v>
      </c>
      <c r="M331" s="280"/>
      <c r="N331" s="280" t="s">
        <v>1670</v>
      </c>
      <c r="O331" s="280" t="s">
        <v>1671</v>
      </c>
      <c r="P331" s="280"/>
      <c r="Q331" s="280"/>
      <c r="R331" s="280"/>
      <c r="S331" s="280"/>
      <c r="T331" s="280"/>
      <c r="U331" s="280" t="s">
        <v>31</v>
      </c>
      <c r="V331" s="280"/>
      <c r="W331" s="280" t="s">
        <v>538</v>
      </c>
      <c r="X331" s="280" t="n">
        <f aca="false">IF($W331="Critical Importance",20,IF($W331="Minor Importance",5,10))</f>
        <v>20</v>
      </c>
    </row>
    <row r="332" customFormat="false" ht="90" hidden="false" customHeight="true" outlineLevel="0" collapsed="false">
      <c r="A332" s="282" t="s">
        <v>336</v>
      </c>
      <c r="B332" s="280" t="s">
        <v>1672</v>
      </c>
      <c r="C332" s="280" t="n">
        <v>0</v>
      </c>
      <c r="D332" s="280" t="n">
        <v>0</v>
      </c>
      <c r="E332" s="280" t="n">
        <v>0</v>
      </c>
      <c r="F332" s="280" t="n">
        <v>0</v>
      </c>
      <c r="G332" s="280" t="n">
        <v>0</v>
      </c>
      <c r="H332" s="280" t="n">
        <v>0</v>
      </c>
      <c r="I332" s="280" t="n">
        <v>1</v>
      </c>
      <c r="J332" s="280" t="n">
        <v>0</v>
      </c>
      <c r="K332" s="280"/>
      <c r="L332" s="280" t="s">
        <v>504</v>
      </c>
      <c r="M332" s="280"/>
      <c r="N332" s="280" t="s">
        <v>1665</v>
      </c>
      <c r="O332" s="280" t="s">
        <v>1673</v>
      </c>
      <c r="P332" s="280"/>
      <c r="Q332" s="280"/>
      <c r="R332" s="280"/>
      <c r="S332" s="280"/>
      <c r="T332" s="280"/>
      <c r="U332" s="280" t="s">
        <v>31</v>
      </c>
      <c r="V332" s="280"/>
      <c r="W332" s="280" t="s">
        <v>594</v>
      </c>
      <c r="X332" s="280" t="n">
        <f aca="false">IF($W332="Critical Importance",20,IF($W332="Minor Importance",5,10))</f>
        <v>10</v>
      </c>
    </row>
    <row r="333" customFormat="false" ht="90" hidden="false" customHeight="true" outlineLevel="0" collapsed="false">
      <c r="A333" s="282" t="s">
        <v>337</v>
      </c>
      <c r="B333" s="280" t="s">
        <v>1674</v>
      </c>
      <c r="C333" s="280" t="n">
        <v>0</v>
      </c>
      <c r="D333" s="280" t="n">
        <v>0</v>
      </c>
      <c r="E333" s="280" t="n">
        <v>0</v>
      </c>
      <c r="F333" s="280" t="n">
        <v>0</v>
      </c>
      <c r="G333" s="280" t="n">
        <v>0</v>
      </c>
      <c r="H333" s="280" t="n">
        <v>0</v>
      </c>
      <c r="I333" s="280" t="n">
        <v>1</v>
      </c>
      <c r="J333" s="280" t="n">
        <v>0</v>
      </c>
      <c r="K333" s="280"/>
      <c r="L333" s="280" t="s">
        <v>504</v>
      </c>
      <c r="M333" s="280"/>
      <c r="N333" s="280" t="s">
        <v>1665</v>
      </c>
      <c r="O333" s="280" t="s">
        <v>1675</v>
      </c>
      <c r="P333" s="280"/>
      <c r="Q333" s="280"/>
      <c r="R333" s="280"/>
      <c r="S333" s="280"/>
      <c r="T333" s="280"/>
      <c r="U333" s="280" t="s">
        <v>31</v>
      </c>
      <c r="V333" s="280"/>
      <c r="W333" s="280" t="s">
        <v>594</v>
      </c>
      <c r="X333" s="280" t="n">
        <f aca="false">IF($W333="Critical Importance",20,IF($W333="Minor Importance",5,10))</f>
        <v>10</v>
      </c>
    </row>
    <row r="334" customFormat="false" ht="90" hidden="false" customHeight="true" outlineLevel="0" collapsed="false">
      <c r="A334" s="282" t="s">
        <v>1676</v>
      </c>
      <c r="B334" s="280" t="s">
        <v>1677</v>
      </c>
      <c r="C334" s="280" t="n">
        <v>0</v>
      </c>
      <c r="D334" s="280" t="n">
        <v>0</v>
      </c>
      <c r="E334" s="280" t="n">
        <v>0</v>
      </c>
      <c r="F334" s="280" t="n">
        <v>0</v>
      </c>
      <c r="G334" s="280" t="n">
        <v>0</v>
      </c>
      <c r="H334" s="280" t="n">
        <v>0</v>
      </c>
      <c r="I334" s="280" t="n">
        <v>1</v>
      </c>
      <c r="J334" s="280" t="n">
        <v>0</v>
      </c>
      <c r="K334" s="280"/>
      <c r="L334" s="280" t="s">
        <v>504</v>
      </c>
      <c r="M334" s="280"/>
      <c r="N334" s="280" t="s">
        <v>1665</v>
      </c>
      <c r="O334" s="280" t="s">
        <v>1678</v>
      </c>
      <c r="P334" s="280"/>
      <c r="Q334" s="280"/>
      <c r="R334" s="280"/>
      <c r="S334" s="280"/>
      <c r="T334" s="280"/>
      <c r="U334" s="280" t="s">
        <v>31</v>
      </c>
      <c r="V334" s="280"/>
      <c r="W334" s="280" t="s">
        <v>547</v>
      </c>
      <c r="X334" s="280" t="n">
        <f aca="false">IF($W334="Critical Importance",20,IF($W334="Minor Importance",5,10))</f>
        <v>5</v>
      </c>
    </row>
    <row r="335" customFormat="false" ht="14.25" hidden="false" customHeight="false" outlineLevel="0" collapsed="false">
      <c r="A335" s="282"/>
      <c r="B335" s="282"/>
      <c r="C335" s="282"/>
      <c r="D335" s="282"/>
      <c r="E335" s="282"/>
      <c r="F335" s="282"/>
      <c r="G335" s="282"/>
      <c r="H335" s="282"/>
      <c r="I335" s="282"/>
      <c r="J335" s="282"/>
      <c r="K335" s="282"/>
      <c r="L335" s="282"/>
      <c r="M335" s="282"/>
      <c r="N335" s="282"/>
      <c r="O335" s="282"/>
      <c r="P335" s="282"/>
      <c r="Q335" s="282"/>
      <c r="R335" s="282"/>
      <c r="S335" s="282"/>
      <c r="T335" s="282"/>
      <c r="U335" s="282"/>
      <c r="V335" s="282"/>
      <c r="W335" s="282"/>
      <c r="X335" s="282"/>
    </row>
    <row r="336" customFormat="false" ht="14.25" hidden="false" customHeight="false" outlineLevel="0" collapsed="false">
      <c r="A336" s="282"/>
      <c r="B336" s="282"/>
      <c r="C336" s="282"/>
      <c r="D336" s="282"/>
      <c r="E336" s="282"/>
      <c r="F336" s="282"/>
      <c r="G336" s="282"/>
      <c r="H336" s="282"/>
      <c r="I336" s="282"/>
      <c r="J336" s="282"/>
      <c r="K336" s="282"/>
      <c r="L336" s="282"/>
      <c r="M336" s="282"/>
      <c r="N336" s="282"/>
      <c r="O336" s="282"/>
      <c r="P336" s="282"/>
      <c r="Q336" s="282"/>
      <c r="R336" s="282"/>
      <c r="S336" s="282"/>
      <c r="T336" s="282"/>
      <c r="U336" s="282"/>
      <c r="V336" s="282"/>
      <c r="W336" s="282"/>
      <c r="X336" s="282"/>
    </row>
    <row r="337" customFormat="false" ht="14.25" hidden="false" customHeight="false" outlineLevel="0" collapsed="false">
      <c r="A337" s="282"/>
      <c r="B337" s="282"/>
      <c r="C337" s="282"/>
      <c r="D337" s="282"/>
      <c r="E337" s="282"/>
      <c r="F337" s="282"/>
      <c r="G337" s="282"/>
      <c r="H337" s="282"/>
      <c r="I337" s="282"/>
      <c r="J337" s="282"/>
      <c r="K337" s="282"/>
      <c r="L337" s="282"/>
      <c r="M337" s="282"/>
      <c r="N337" s="282"/>
      <c r="O337" s="282"/>
      <c r="P337" s="282"/>
      <c r="Q337" s="282"/>
      <c r="R337" s="282"/>
      <c r="S337" s="282"/>
      <c r="T337" s="282"/>
      <c r="U337" s="282"/>
      <c r="V337" s="282"/>
      <c r="W337" s="282"/>
      <c r="X337" s="282"/>
    </row>
    <row r="338" customFormat="false" ht="14.25" hidden="false" customHeight="false" outlineLevel="0" collapsed="false">
      <c r="A338" s="282"/>
      <c r="B338" s="282"/>
      <c r="C338" s="282"/>
      <c r="D338" s="282"/>
      <c r="E338" s="282"/>
      <c r="F338" s="282"/>
      <c r="G338" s="282"/>
      <c r="H338" s="282"/>
      <c r="I338" s="282"/>
      <c r="J338" s="282"/>
      <c r="K338" s="282"/>
      <c r="L338" s="282"/>
      <c r="M338" s="282"/>
      <c r="N338" s="282"/>
      <c r="O338" s="282"/>
      <c r="P338" s="282"/>
      <c r="Q338" s="282"/>
      <c r="R338" s="282"/>
      <c r="S338" s="282"/>
      <c r="T338" s="282"/>
      <c r="U338" s="282"/>
      <c r="V338" s="282"/>
      <c r="W338" s="282"/>
      <c r="X338" s="282"/>
    </row>
    <row r="339" customFormat="false" ht="14.25" hidden="false" customHeight="false" outlineLevel="0" collapsed="false">
      <c r="A339" s="282"/>
      <c r="B339" s="282"/>
      <c r="C339" s="282"/>
      <c r="D339" s="282"/>
      <c r="E339" s="282"/>
      <c r="F339" s="282"/>
      <c r="G339" s="282"/>
      <c r="H339" s="282"/>
      <c r="I339" s="282"/>
      <c r="J339" s="282"/>
      <c r="K339" s="282"/>
      <c r="L339" s="282"/>
      <c r="M339" s="282"/>
      <c r="N339" s="282"/>
      <c r="O339" s="282"/>
      <c r="P339" s="282"/>
      <c r="Q339" s="282"/>
      <c r="R339" s="282"/>
      <c r="S339" s="282"/>
      <c r="T339" s="282"/>
      <c r="U339" s="282"/>
      <c r="V339" s="282"/>
      <c r="W339" s="282"/>
      <c r="X339" s="282"/>
    </row>
    <row r="340" customFormat="false" ht="14.25" hidden="false" customHeight="false" outlineLevel="0" collapsed="false">
      <c r="A340" s="282"/>
      <c r="B340" s="282"/>
      <c r="C340" s="282"/>
      <c r="D340" s="282"/>
      <c r="E340" s="282"/>
      <c r="F340" s="282"/>
      <c r="G340" s="282"/>
      <c r="H340" s="282"/>
      <c r="I340" s="282"/>
      <c r="J340" s="282"/>
      <c r="K340" s="282"/>
      <c r="L340" s="282"/>
      <c r="M340" s="282"/>
      <c r="N340" s="282"/>
      <c r="O340" s="282"/>
      <c r="P340" s="282"/>
      <c r="Q340" s="282"/>
      <c r="R340" s="282"/>
      <c r="S340" s="282"/>
      <c r="T340" s="282"/>
      <c r="U340" s="282"/>
      <c r="V340" s="282"/>
      <c r="W340" s="282"/>
      <c r="X340" s="282"/>
    </row>
    <row r="341" customFormat="false" ht="14.25" hidden="false" customHeight="false" outlineLevel="0" collapsed="false">
      <c r="A341" s="282"/>
      <c r="B341" s="282"/>
      <c r="C341" s="282"/>
      <c r="D341" s="282"/>
      <c r="E341" s="282"/>
      <c r="F341" s="282"/>
      <c r="G341" s="282"/>
      <c r="H341" s="282"/>
      <c r="I341" s="282"/>
      <c r="J341" s="282"/>
      <c r="K341" s="282"/>
      <c r="L341" s="282"/>
      <c r="M341" s="282"/>
      <c r="N341" s="282"/>
      <c r="O341" s="282"/>
      <c r="P341" s="282"/>
      <c r="Q341" s="282"/>
      <c r="R341" s="282"/>
      <c r="S341" s="282"/>
      <c r="T341" s="282"/>
      <c r="U341" s="282"/>
      <c r="V341" s="282"/>
      <c r="W341" s="282"/>
      <c r="X341" s="282"/>
    </row>
    <row r="342" customFormat="false" ht="14.25" hidden="false" customHeight="false" outlineLevel="0" collapsed="false">
      <c r="A342" s="282"/>
      <c r="B342" s="282"/>
      <c r="C342" s="282"/>
      <c r="D342" s="282"/>
      <c r="E342" s="282"/>
      <c r="F342" s="282"/>
      <c r="G342" s="282"/>
      <c r="H342" s="282"/>
      <c r="I342" s="282"/>
      <c r="J342" s="282"/>
      <c r="K342" s="282"/>
      <c r="L342" s="282"/>
      <c r="M342" s="282"/>
      <c r="N342" s="282"/>
      <c r="O342" s="282"/>
      <c r="P342" s="282"/>
      <c r="Q342" s="282"/>
      <c r="R342" s="282"/>
      <c r="S342" s="282"/>
      <c r="T342" s="282"/>
      <c r="U342" s="282"/>
      <c r="V342" s="282"/>
      <c r="W342" s="282"/>
      <c r="X342" s="282"/>
    </row>
    <row r="343" customFormat="false" ht="14.25" hidden="false" customHeight="false" outlineLevel="0" collapsed="false">
      <c r="A343" s="282"/>
      <c r="B343" s="282"/>
      <c r="C343" s="282"/>
      <c r="D343" s="282"/>
      <c r="E343" s="282"/>
      <c r="F343" s="282"/>
      <c r="G343" s="282"/>
      <c r="H343" s="282"/>
      <c r="I343" s="282"/>
      <c r="J343" s="282"/>
      <c r="K343" s="282"/>
      <c r="L343" s="282"/>
      <c r="M343" s="282"/>
      <c r="N343" s="282"/>
      <c r="O343" s="282"/>
      <c r="P343" s="282"/>
      <c r="Q343" s="282"/>
      <c r="R343" s="282"/>
      <c r="S343" s="282"/>
      <c r="T343" s="282"/>
      <c r="U343" s="282"/>
      <c r="V343" s="282"/>
      <c r="W343" s="282"/>
      <c r="X343" s="282"/>
    </row>
    <row r="344" customFormat="false" ht="14.25" hidden="false" customHeight="false" outlineLevel="0" collapsed="false">
      <c r="A344" s="282"/>
      <c r="B344" s="282"/>
      <c r="C344" s="282"/>
      <c r="D344" s="282"/>
      <c r="E344" s="282"/>
      <c r="F344" s="282"/>
      <c r="G344" s="282"/>
      <c r="H344" s="282"/>
      <c r="I344" s="282"/>
      <c r="J344" s="282"/>
      <c r="K344" s="282"/>
      <c r="L344" s="282"/>
      <c r="M344" s="282"/>
      <c r="N344" s="282"/>
      <c r="O344" s="282"/>
      <c r="P344" s="282"/>
      <c r="Q344" s="282"/>
      <c r="R344" s="282"/>
      <c r="S344" s="282"/>
      <c r="T344" s="282"/>
      <c r="U344" s="282"/>
      <c r="V344" s="282"/>
      <c r="W344" s="282"/>
      <c r="X344" s="282"/>
    </row>
    <row r="345" customFormat="false" ht="14.25" hidden="false" customHeight="false" outlineLevel="0" collapsed="false">
      <c r="A345" s="282"/>
      <c r="B345" s="282"/>
      <c r="C345" s="282"/>
      <c r="D345" s="282"/>
      <c r="E345" s="282"/>
      <c r="F345" s="282"/>
      <c r="G345" s="282"/>
      <c r="H345" s="282"/>
      <c r="I345" s="282"/>
      <c r="J345" s="282"/>
      <c r="K345" s="282"/>
      <c r="L345" s="282"/>
      <c r="M345" s="282"/>
      <c r="N345" s="282"/>
      <c r="O345" s="282"/>
      <c r="P345" s="282"/>
      <c r="Q345" s="282"/>
      <c r="R345" s="282"/>
      <c r="S345" s="282"/>
      <c r="T345" s="282"/>
      <c r="U345" s="282"/>
      <c r="V345" s="282"/>
      <c r="W345" s="282"/>
      <c r="X345" s="282"/>
    </row>
    <row r="346" customFormat="false" ht="14.25" hidden="false" customHeight="false" outlineLevel="0" collapsed="false">
      <c r="A346" s="282"/>
      <c r="B346" s="282"/>
      <c r="C346" s="282"/>
      <c r="D346" s="282"/>
      <c r="E346" s="282"/>
      <c r="F346" s="282"/>
      <c r="G346" s="282"/>
      <c r="H346" s="282"/>
      <c r="I346" s="282"/>
      <c r="J346" s="282"/>
      <c r="K346" s="282"/>
      <c r="L346" s="282"/>
      <c r="M346" s="282"/>
      <c r="N346" s="282"/>
      <c r="O346" s="282"/>
      <c r="P346" s="282"/>
      <c r="Q346" s="282"/>
      <c r="R346" s="282"/>
      <c r="S346" s="282"/>
      <c r="T346" s="282"/>
      <c r="U346" s="282"/>
      <c r="V346" s="282"/>
      <c r="W346" s="282"/>
      <c r="X346" s="282"/>
    </row>
    <row r="347" customFormat="false" ht="14.25" hidden="false" customHeight="false" outlineLevel="0" collapsed="false">
      <c r="A347" s="282"/>
      <c r="B347" s="282"/>
      <c r="C347" s="282"/>
      <c r="D347" s="282"/>
      <c r="E347" s="282"/>
      <c r="F347" s="282"/>
      <c r="G347" s="282"/>
      <c r="H347" s="282"/>
      <c r="I347" s="282"/>
      <c r="J347" s="282"/>
      <c r="K347" s="282"/>
      <c r="L347" s="282"/>
      <c r="M347" s="282"/>
      <c r="N347" s="282"/>
      <c r="O347" s="282"/>
      <c r="P347" s="282"/>
      <c r="Q347" s="282"/>
      <c r="R347" s="282"/>
      <c r="S347" s="282"/>
      <c r="T347" s="282"/>
      <c r="U347" s="282"/>
      <c r="V347" s="282"/>
      <c r="W347" s="282"/>
      <c r="X347" s="282"/>
    </row>
    <row r="348" customFormat="false" ht="14.25" hidden="false" customHeight="false" outlineLevel="0" collapsed="false">
      <c r="A348" s="282"/>
      <c r="B348" s="282"/>
      <c r="C348" s="282"/>
      <c r="D348" s="282"/>
      <c r="E348" s="282"/>
      <c r="F348" s="282"/>
      <c r="G348" s="282"/>
      <c r="H348" s="282"/>
      <c r="I348" s="282"/>
      <c r="J348" s="282"/>
      <c r="K348" s="282"/>
      <c r="L348" s="282"/>
      <c r="M348" s="282"/>
      <c r="N348" s="282"/>
      <c r="O348" s="282"/>
      <c r="P348" s="282"/>
      <c r="Q348" s="282"/>
      <c r="R348" s="282"/>
      <c r="S348" s="282"/>
      <c r="T348" s="282"/>
      <c r="U348" s="282"/>
      <c r="V348" s="282"/>
      <c r="W348" s="282"/>
      <c r="X348" s="282"/>
    </row>
    <row r="349" customFormat="false" ht="14.25" hidden="false" customHeight="false" outlineLevel="0" collapsed="false">
      <c r="A349" s="282"/>
      <c r="B349" s="282"/>
      <c r="C349" s="282"/>
      <c r="D349" s="282"/>
      <c r="E349" s="282"/>
      <c r="F349" s="282"/>
      <c r="G349" s="282"/>
      <c r="H349" s="282"/>
      <c r="I349" s="282"/>
      <c r="J349" s="282"/>
      <c r="K349" s="282"/>
      <c r="L349" s="282"/>
      <c r="M349" s="282"/>
      <c r="N349" s="282"/>
      <c r="O349" s="282"/>
      <c r="P349" s="282"/>
      <c r="Q349" s="282"/>
      <c r="R349" s="282"/>
      <c r="S349" s="282"/>
      <c r="T349" s="282"/>
      <c r="U349" s="282"/>
      <c r="V349" s="282"/>
      <c r="W349" s="282"/>
      <c r="X349" s="282"/>
    </row>
    <row r="350" customFormat="false" ht="14.25" hidden="false" customHeight="false" outlineLevel="0" collapsed="false">
      <c r="A350" s="282"/>
      <c r="B350" s="282"/>
      <c r="C350" s="282"/>
      <c r="D350" s="282"/>
      <c r="E350" s="282"/>
      <c r="F350" s="282"/>
      <c r="G350" s="282"/>
      <c r="H350" s="282"/>
      <c r="I350" s="282"/>
      <c r="J350" s="282"/>
      <c r="K350" s="282"/>
      <c r="L350" s="282"/>
      <c r="M350" s="282"/>
      <c r="N350" s="282"/>
      <c r="O350" s="282"/>
      <c r="P350" s="282"/>
      <c r="Q350" s="282"/>
      <c r="R350" s="282"/>
      <c r="S350" s="282"/>
      <c r="T350" s="282"/>
      <c r="U350" s="282"/>
      <c r="V350" s="282"/>
      <c r="W350" s="282"/>
      <c r="X350" s="282"/>
    </row>
    <row r="351" customFormat="false" ht="14.25" hidden="false" customHeight="false" outlineLevel="0" collapsed="false">
      <c r="A351" s="282"/>
      <c r="B351" s="282"/>
      <c r="C351" s="282"/>
      <c r="D351" s="282"/>
      <c r="E351" s="282"/>
      <c r="F351" s="282"/>
      <c r="G351" s="282"/>
      <c r="H351" s="282"/>
      <c r="I351" s="282"/>
      <c r="J351" s="282"/>
      <c r="K351" s="282"/>
      <c r="L351" s="282"/>
      <c r="M351" s="282"/>
      <c r="N351" s="282"/>
      <c r="O351" s="282"/>
      <c r="P351" s="282"/>
      <c r="Q351" s="282"/>
      <c r="R351" s="282"/>
      <c r="S351" s="282"/>
      <c r="T351" s="282"/>
      <c r="U351" s="282"/>
      <c r="V351" s="282"/>
      <c r="W351" s="282"/>
      <c r="X351" s="282"/>
    </row>
    <row r="352" customFormat="false" ht="14.25" hidden="false" customHeight="false" outlineLevel="0" collapsed="false">
      <c r="A352" s="282"/>
      <c r="B352" s="282"/>
      <c r="C352" s="282"/>
      <c r="D352" s="282"/>
      <c r="E352" s="282"/>
      <c r="F352" s="282"/>
      <c r="G352" s="282"/>
      <c r="H352" s="282"/>
      <c r="I352" s="282"/>
      <c r="J352" s="282"/>
      <c r="K352" s="282"/>
      <c r="L352" s="282"/>
      <c r="M352" s="282"/>
      <c r="N352" s="282"/>
      <c r="O352" s="282"/>
      <c r="P352" s="282"/>
      <c r="Q352" s="282"/>
      <c r="R352" s="282"/>
      <c r="S352" s="282"/>
      <c r="T352" s="282"/>
      <c r="U352" s="282"/>
      <c r="V352" s="282"/>
      <c r="W352" s="282"/>
      <c r="X352" s="282"/>
    </row>
    <row r="353" customFormat="false" ht="14.25" hidden="false" customHeight="false" outlineLevel="0" collapsed="false">
      <c r="A353" s="282"/>
      <c r="B353" s="282"/>
      <c r="C353" s="282"/>
      <c r="D353" s="282"/>
      <c r="E353" s="282"/>
      <c r="F353" s="282"/>
      <c r="G353" s="282"/>
      <c r="H353" s="282"/>
      <c r="I353" s="282"/>
      <c r="J353" s="282"/>
      <c r="K353" s="282"/>
      <c r="L353" s="282"/>
      <c r="M353" s="282"/>
      <c r="N353" s="282"/>
      <c r="O353" s="282"/>
      <c r="P353" s="282"/>
      <c r="Q353" s="282"/>
      <c r="R353" s="282"/>
      <c r="S353" s="282"/>
      <c r="T353" s="282"/>
      <c r="U353" s="282"/>
      <c r="V353" s="282"/>
      <c r="W353" s="282"/>
      <c r="X353" s="282"/>
    </row>
    <row r="354" customFormat="false" ht="14.25" hidden="false" customHeight="false" outlineLevel="0" collapsed="false">
      <c r="A354" s="282"/>
      <c r="B354" s="282"/>
      <c r="C354" s="282"/>
      <c r="D354" s="282"/>
      <c r="E354" s="282"/>
      <c r="F354" s="282"/>
      <c r="G354" s="282"/>
      <c r="H354" s="282"/>
      <c r="I354" s="282"/>
      <c r="J354" s="282"/>
      <c r="K354" s="282"/>
      <c r="L354" s="282"/>
      <c r="M354" s="282"/>
      <c r="N354" s="282"/>
      <c r="O354" s="282"/>
      <c r="P354" s="282"/>
      <c r="Q354" s="282"/>
      <c r="R354" s="282"/>
      <c r="S354" s="282"/>
      <c r="T354" s="282"/>
      <c r="U354" s="282"/>
      <c r="V354" s="282"/>
      <c r="W354" s="282"/>
      <c r="X354" s="282"/>
    </row>
    <row r="355" customFormat="false" ht="14.25" hidden="false" customHeight="false" outlineLevel="0" collapsed="false">
      <c r="A355" s="282"/>
      <c r="B355" s="282"/>
      <c r="C355" s="282"/>
      <c r="D355" s="282"/>
      <c r="E355" s="282"/>
      <c r="F355" s="282"/>
      <c r="G355" s="282"/>
      <c r="H355" s="282"/>
      <c r="I355" s="282"/>
      <c r="J355" s="282"/>
      <c r="K355" s="282"/>
      <c r="L355" s="282"/>
      <c r="M355" s="282"/>
      <c r="N355" s="282"/>
      <c r="O355" s="282"/>
      <c r="P355" s="282"/>
      <c r="Q355" s="282"/>
      <c r="R355" s="282"/>
      <c r="S355" s="282"/>
      <c r="T355" s="282"/>
      <c r="U355" s="282"/>
      <c r="V355" s="282"/>
      <c r="W355" s="282"/>
      <c r="X355" s="282"/>
    </row>
    <row r="356" customFormat="false" ht="14.25" hidden="false" customHeight="false" outlineLevel="0" collapsed="false">
      <c r="A356" s="282"/>
      <c r="B356" s="282"/>
      <c r="C356" s="282"/>
      <c r="D356" s="282"/>
      <c r="E356" s="282"/>
      <c r="F356" s="282"/>
      <c r="G356" s="282"/>
      <c r="H356" s="282"/>
      <c r="I356" s="282"/>
      <c r="J356" s="282"/>
      <c r="K356" s="282"/>
      <c r="L356" s="282"/>
      <c r="M356" s="282"/>
      <c r="N356" s="282"/>
      <c r="O356" s="282"/>
      <c r="P356" s="282"/>
      <c r="Q356" s="282"/>
      <c r="R356" s="282"/>
      <c r="S356" s="282"/>
      <c r="T356" s="282"/>
      <c r="U356" s="282"/>
      <c r="V356" s="282"/>
      <c r="W356" s="282"/>
      <c r="X356" s="282"/>
    </row>
    <row r="357" customFormat="false" ht="14.25" hidden="false" customHeight="false" outlineLevel="0" collapsed="false">
      <c r="A357" s="282"/>
      <c r="B357" s="282"/>
      <c r="C357" s="282"/>
      <c r="D357" s="282"/>
      <c r="E357" s="282"/>
      <c r="F357" s="282"/>
      <c r="G357" s="282"/>
      <c r="H357" s="282"/>
      <c r="I357" s="282"/>
      <c r="J357" s="282"/>
      <c r="K357" s="282"/>
      <c r="L357" s="282"/>
      <c r="M357" s="282"/>
      <c r="N357" s="282"/>
      <c r="O357" s="282"/>
      <c r="P357" s="282"/>
      <c r="Q357" s="282"/>
      <c r="R357" s="282"/>
      <c r="S357" s="282"/>
      <c r="T357" s="282"/>
      <c r="U357" s="282"/>
      <c r="V357" s="282"/>
      <c r="W357" s="282"/>
      <c r="X357" s="282"/>
    </row>
    <row r="358" customFormat="false" ht="14.25" hidden="false" customHeight="false" outlineLevel="0" collapsed="false">
      <c r="A358" s="282"/>
      <c r="B358" s="282"/>
      <c r="C358" s="282"/>
      <c r="D358" s="282"/>
      <c r="E358" s="282"/>
      <c r="F358" s="282"/>
      <c r="G358" s="282"/>
      <c r="H358" s="282"/>
      <c r="I358" s="282"/>
      <c r="J358" s="282"/>
      <c r="K358" s="282"/>
      <c r="L358" s="282"/>
      <c r="M358" s="282"/>
      <c r="N358" s="282"/>
      <c r="O358" s="282"/>
      <c r="P358" s="282"/>
      <c r="Q358" s="282"/>
      <c r="R358" s="282"/>
      <c r="S358" s="282"/>
      <c r="T358" s="282"/>
      <c r="U358" s="282"/>
      <c r="V358" s="282"/>
      <c r="W358" s="282"/>
      <c r="X358" s="282"/>
    </row>
    <row r="359" customFormat="false" ht="14.25" hidden="false" customHeight="false" outlineLevel="0" collapsed="false">
      <c r="A359" s="282"/>
      <c r="B359" s="282"/>
      <c r="C359" s="282"/>
      <c r="D359" s="282"/>
      <c r="E359" s="282"/>
      <c r="F359" s="282"/>
      <c r="G359" s="282"/>
      <c r="H359" s="282"/>
      <c r="I359" s="282"/>
      <c r="J359" s="282"/>
      <c r="K359" s="282"/>
      <c r="L359" s="282"/>
      <c r="M359" s="282"/>
      <c r="N359" s="282"/>
      <c r="O359" s="282"/>
      <c r="P359" s="282"/>
      <c r="Q359" s="282"/>
      <c r="R359" s="282"/>
      <c r="S359" s="282"/>
      <c r="T359" s="282"/>
      <c r="U359" s="282"/>
      <c r="V359" s="282"/>
      <c r="W359" s="282"/>
      <c r="X359" s="282"/>
    </row>
    <row r="360" customFormat="false" ht="14.25" hidden="false" customHeight="false" outlineLevel="0" collapsed="false">
      <c r="A360" s="282"/>
      <c r="B360" s="282"/>
      <c r="C360" s="282"/>
      <c r="D360" s="282"/>
      <c r="E360" s="282"/>
      <c r="F360" s="282"/>
      <c r="G360" s="282"/>
      <c r="H360" s="282"/>
      <c r="I360" s="282"/>
      <c r="J360" s="282"/>
      <c r="K360" s="282"/>
      <c r="L360" s="282"/>
      <c r="M360" s="282"/>
      <c r="N360" s="282"/>
      <c r="O360" s="282"/>
      <c r="P360" s="282"/>
      <c r="Q360" s="282"/>
      <c r="R360" s="282"/>
      <c r="S360" s="282"/>
      <c r="T360" s="282"/>
      <c r="U360" s="282"/>
      <c r="V360" s="282"/>
      <c r="W360" s="282"/>
      <c r="X360" s="282"/>
    </row>
    <row r="361" customFormat="false" ht="14.25" hidden="false" customHeight="false" outlineLevel="0" collapsed="false">
      <c r="A361" s="282"/>
      <c r="B361" s="282"/>
      <c r="C361" s="282"/>
      <c r="D361" s="282"/>
      <c r="E361" s="282"/>
      <c r="F361" s="282"/>
      <c r="G361" s="282"/>
      <c r="H361" s="282"/>
      <c r="I361" s="282"/>
      <c r="J361" s="282"/>
      <c r="K361" s="282"/>
      <c r="L361" s="282"/>
      <c r="M361" s="282"/>
      <c r="N361" s="282"/>
      <c r="O361" s="282"/>
      <c r="P361" s="282"/>
      <c r="Q361" s="282"/>
      <c r="R361" s="282"/>
      <c r="S361" s="282"/>
      <c r="T361" s="282"/>
      <c r="U361" s="282"/>
      <c r="V361" s="282"/>
      <c r="W361" s="282"/>
      <c r="X361" s="282"/>
    </row>
    <row r="362" customFormat="false" ht="14.25" hidden="false" customHeight="false" outlineLevel="0" collapsed="false">
      <c r="A362" s="282"/>
      <c r="B362" s="282"/>
      <c r="C362" s="282"/>
      <c r="D362" s="282"/>
      <c r="E362" s="282"/>
      <c r="F362" s="282"/>
      <c r="G362" s="282"/>
      <c r="H362" s="282"/>
      <c r="I362" s="282"/>
      <c r="J362" s="282"/>
      <c r="K362" s="282"/>
      <c r="L362" s="282"/>
      <c r="M362" s="282"/>
      <c r="N362" s="282"/>
      <c r="O362" s="282"/>
      <c r="P362" s="282"/>
      <c r="Q362" s="282"/>
      <c r="R362" s="282"/>
      <c r="S362" s="282"/>
      <c r="T362" s="282"/>
      <c r="U362" s="282"/>
      <c r="V362" s="282"/>
      <c r="W362" s="282"/>
      <c r="X362" s="282"/>
    </row>
    <row r="363" customFormat="false" ht="14.25" hidden="false" customHeight="false" outlineLevel="0" collapsed="false">
      <c r="A363" s="282"/>
      <c r="B363" s="282"/>
      <c r="C363" s="282"/>
      <c r="D363" s="282"/>
      <c r="E363" s="282"/>
      <c r="F363" s="282"/>
      <c r="G363" s="282"/>
      <c r="H363" s="282"/>
      <c r="I363" s="282"/>
      <c r="J363" s="282"/>
      <c r="K363" s="282"/>
      <c r="L363" s="282"/>
      <c r="M363" s="282"/>
      <c r="N363" s="282"/>
      <c r="O363" s="282"/>
      <c r="P363" s="282"/>
      <c r="Q363" s="282"/>
      <c r="R363" s="282"/>
      <c r="S363" s="282"/>
      <c r="T363" s="282"/>
      <c r="U363" s="282"/>
      <c r="V363" s="282"/>
      <c r="W363" s="282"/>
      <c r="X363" s="282"/>
    </row>
    <row r="364" customFormat="false" ht="14.25" hidden="false" customHeight="false" outlineLevel="0" collapsed="false">
      <c r="A364" s="282"/>
      <c r="B364" s="282"/>
      <c r="C364" s="282"/>
      <c r="D364" s="282"/>
      <c r="E364" s="282"/>
      <c r="F364" s="282"/>
      <c r="G364" s="282"/>
      <c r="H364" s="282"/>
      <c r="I364" s="282"/>
      <c r="J364" s="282"/>
      <c r="K364" s="282"/>
      <c r="L364" s="282"/>
      <c r="M364" s="282"/>
      <c r="N364" s="282"/>
      <c r="O364" s="282"/>
      <c r="P364" s="282"/>
      <c r="Q364" s="282"/>
      <c r="R364" s="282"/>
      <c r="S364" s="282"/>
      <c r="T364" s="282"/>
      <c r="U364" s="282"/>
      <c r="V364" s="282"/>
      <c r="W364" s="282"/>
      <c r="X364" s="282"/>
    </row>
    <row r="365" customFormat="false" ht="14.25" hidden="false" customHeight="false" outlineLevel="0" collapsed="false">
      <c r="A365" s="282"/>
      <c r="B365" s="282"/>
      <c r="C365" s="282"/>
      <c r="D365" s="282"/>
      <c r="E365" s="282"/>
      <c r="F365" s="282"/>
      <c r="G365" s="282"/>
      <c r="H365" s="282"/>
      <c r="I365" s="282"/>
      <c r="J365" s="282"/>
      <c r="K365" s="282"/>
      <c r="L365" s="282"/>
      <c r="M365" s="282"/>
      <c r="N365" s="282"/>
      <c r="O365" s="282"/>
      <c r="P365" s="282"/>
      <c r="Q365" s="282"/>
      <c r="R365" s="282"/>
      <c r="S365" s="282"/>
      <c r="T365" s="282"/>
      <c r="U365" s="282"/>
      <c r="V365" s="282"/>
      <c r="W365" s="282"/>
      <c r="X365" s="282"/>
    </row>
    <row r="366" customFormat="false" ht="14.25" hidden="false" customHeight="false" outlineLevel="0" collapsed="false">
      <c r="A366" s="282"/>
      <c r="B366" s="282"/>
      <c r="C366" s="282"/>
      <c r="D366" s="282"/>
      <c r="E366" s="282"/>
      <c r="F366" s="282"/>
      <c r="G366" s="282"/>
      <c r="H366" s="282"/>
      <c r="I366" s="282"/>
      <c r="J366" s="282"/>
      <c r="K366" s="282"/>
      <c r="L366" s="282"/>
      <c r="M366" s="282"/>
      <c r="N366" s="282"/>
      <c r="O366" s="282"/>
      <c r="P366" s="282"/>
      <c r="Q366" s="282"/>
      <c r="R366" s="282"/>
      <c r="S366" s="282"/>
      <c r="T366" s="282"/>
      <c r="U366" s="282"/>
      <c r="V366" s="282"/>
      <c r="W366" s="282"/>
      <c r="X366" s="282"/>
    </row>
    <row r="367" customFormat="false" ht="14.25" hidden="false" customHeight="false" outlineLevel="0" collapsed="false">
      <c r="A367" s="282"/>
      <c r="B367" s="282"/>
      <c r="C367" s="282"/>
      <c r="D367" s="282"/>
      <c r="E367" s="282"/>
      <c r="F367" s="282"/>
      <c r="G367" s="282"/>
      <c r="H367" s="282"/>
      <c r="I367" s="282"/>
      <c r="J367" s="282"/>
      <c r="K367" s="282"/>
      <c r="L367" s="282"/>
      <c r="M367" s="282"/>
      <c r="N367" s="282"/>
      <c r="O367" s="282"/>
      <c r="P367" s="282"/>
      <c r="Q367" s="282"/>
      <c r="R367" s="282"/>
      <c r="S367" s="282"/>
      <c r="T367" s="282"/>
      <c r="U367" s="282"/>
      <c r="V367" s="282"/>
      <c r="W367" s="282"/>
      <c r="X367" s="282"/>
    </row>
    <row r="368" customFormat="false" ht="14.25" hidden="false" customHeight="false" outlineLevel="0" collapsed="false">
      <c r="A368" s="282"/>
      <c r="B368" s="282"/>
      <c r="C368" s="282"/>
      <c r="D368" s="282"/>
      <c r="E368" s="282"/>
      <c r="F368" s="282"/>
      <c r="G368" s="282"/>
      <c r="H368" s="282"/>
      <c r="I368" s="282"/>
      <c r="J368" s="282"/>
      <c r="K368" s="282"/>
      <c r="L368" s="282"/>
      <c r="M368" s="282"/>
      <c r="N368" s="282"/>
      <c r="O368" s="282"/>
      <c r="P368" s="282"/>
      <c r="Q368" s="282"/>
      <c r="R368" s="282"/>
      <c r="S368" s="282"/>
      <c r="T368" s="282"/>
      <c r="U368" s="282"/>
      <c r="V368" s="282"/>
      <c r="W368" s="282"/>
      <c r="X368" s="282"/>
    </row>
    <row r="369" customFormat="false" ht="14.25" hidden="false" customHeight="false" outlineLevel="0" collapsed="false">
      <c r="A369" s="282"/>
      <c r="B369" s="282"/>
      <c r="C369" s="282"/>
      <c r="D369" s="282"/>
      <c r="E369" s="282"/>
      <c r="F369" s="282"/>
      <c r="G369" s="282"/>
      <c r="H369" s="282"/>
      <c r="I369" s="282"/>
      <c r="J369" s="282"/>
      <c r="K369" s="282"/>
      <c r="L369" s="282"/>
      <c r="M369" s="282"/>
      <c r="N369" s="282"/>
      <c r="O369" s="282"/>
      <c r="P369" s="282"/>
      <c r="Q369" s="282"/>
      <c r="R369" s="282"/>
      <c r="S369" s="282"/>
      <c r="T369" s="282"/>
      <c r="U369" s="282"/>
      <c r="V369" s="282"/>
      <c r="W369" s="282"/>
      <c r="X369" s="282"/>
    </row>
    <row r="370" customFormat="false" ht="14.25" hidden="false" customHeight="false" outlineLevel="0" collapsed="false">
      <c r="A370" s="282"/>
      <c r="B370" s="282"/>
      <c r="C370" s="282"/>
      <c r="D370" s="282"/>
      <c r="E370" s="282"/>
      <c r="F370" s="282"/>
      <c r="G370" s="282"/>
      <c r="H370" s="282"/>
      <c r="I370" s="282"/>
      <c r="J370" s="282"/>
      <c r="K370" s="282"/>
      <c r="L370" s="282"/>
      <c r="M370" s="282"/>
      <c r="N370" s="282"/>
      <c r="O370" s="282"/>
      <c r="P370" s="282"/>
      <c r="Q370" s="282"/>
      <c r="R370" s="282"/>
      <c r="S370" s="282"/>
      <c r="T370" s="282"/>
      <c r="U370" s="282"/>
      <c r="V370" s="282"/>
      <c r="W370" s="282"/>
      <c r="X370" s="282"/>
    </row>
    <row r="371" customFormat="false" ht="14.25" hidden="false" customHeight="false" outlineLevel="0" collapsed="false">
      <c r="A371" s="282"/>
      <c r="B371" s="282"/>
      <c r="C371" s="282"/>
      <c r="D371" s="282"/>
      <c r="E371" s="282"/>
      <c r="F371" s="282"/>
      <c r="G371" s="282"/>
      <c r="H371" s="282"/>
      <c r="I371" s="282"/>
      <c r="J371" s="282"/>
      <c r="K371" s="282"/>
      <c r="L371" s="282"/>
      <c r="M371" s="282"/>
      <c r="N371" s="282"/>
      <c r="O371" s="282"/>
      <c r="P371" s="282"/>
      <c r="Q371" s="282"/>
      <c r="R371" s="282"/>
      <c r="S371" s="282"/>
      <c r="T371" s="282"/>
      <c r="U371" s="282"/>
      <c r="V371" s="282"/>
      <c r="W371" s="282"/>
      <c r="X371" s="282"/>
    </row>
    <row r="372" customFormat="false" ht="14.25" hidden="false" customHeight="false" outlineLevel="0" collapsed="false">
      <c r="A372" s="282"/>
      <c r="B372" s="282"/>
      <c r="C372" s="282"/>
      <c r="D372" s="282"/>
      <c r="E372" s="282"/>
      <c r="F372" s="282"/>
      <c r="G372" s="282"/>
      <c r="H372" s="282"/>
      <c r="I372" s="282"/>
      <c r="J372" s="282"/>
      <c r="K372" s="282"/>
      <c r="L372" s="282"/>
      <c r="M372" s="282"/>
      <c r="N372" s="282"/>
      <c r="O372" s="282"/>
      <c r="P372" s="282"/>
      <c r="Q372" s="282"/>
      <c r="R372" s="282"/>
      <c r="S372" s="282"/>
      <c r="T372" s="282"/>
      <c r="U372" s="282"/>
      <c r="V372" s="282"/>
      <c r="W372" s="282"/>
      <c r="X372" s="282"/>
    </row>
    <row r="373" customFormat="false" ht="14.25" hidden="false" customHeight="false" outlineLevel="0" collapsed="false">
      <c r="A373" s="282"/>
      <c r="B373" s="282"/>
      <c r="C373" s="282"/>
      <c r="D373" s="282"/>
      <c r="E373" s="282"/>
      <c r="F373" s="282"/>
      <c r="G373" s="282"/>
      <c r="H373" s="282"/>
      <c r="I373" s="282"/>
      <c r="J373" s="282"/>
      <c r="K373" s="282"/>
      <c r="L373" s="282"/>
      <c r="M373" s="282"/>
      <c r="N373" s="282"/>
      <c r="O373" s="282"/>
      <c r="P373" s="282"/>
      <c r="Q373" s="282"/>
      <c r="R373" s="282"/>
      <c r="S373" s="282"/>
      <c r="T373" s="282"/>
      <c r="U373" s="282"/>
      <c r="V373" s="282"/>
      <c r="W373" s="282"/>
      <c r="X373" s="282"/>
    </row>
    <row r="374" customFormat="false" ht="14.25" hidden="false" customHeight="false" outlineLevel="0" collapsed="false">
      <c r="A374" s="282"/>
      <c r="B374" s="282"/>
      <c r="C374" s="282"/>
      <c r="D374" s="282"/>
      <c r="E374" s="282"/>
      <c r="F374" s="282"/>
      <c r="G374" s="282"/>
      <c r="H374" s="282"/>
      <c r="I374" s="282"/>
      <c r="J374" s="282"/>
      <c r="K374" s="282"/>
      <c r="L374" s="282"/>
      <c r="M374" s="282"/>
      <c r="N374" s="282"/>
      <c r="O374" s="282"/>
      <c r="P374" s="282"/>
      <c r="Q374" s="282"/>
      <c r="R374" s="282"/>
      <c r="S374" s="282"/>
      <c r="T374" s="282"/>
      <c r="U374" s="282"/>
      <c r="V374" s="282"/>
      <c r="W374" s="282"/>
      <c r="X374" s="282"/>
    </row>
    <row r="375" customFormat="false" ht="14.25" hidden="false" customHeight="false" outlineLevel="0" collapsed="false">
      <c r="A375" s="282"/>
      <c r="B375" s="282"/>
      <c r="C375" s="282"/>
      <c r="D375" s="282"/>
      <c r="E375" s="282"/>
      <c r="F375" s="282"/>
      <c r="G375" s="282"/>
      <c r="H375" s="282"/>
      <c r="I375" s="282"/>
      <c r="J375" s="282"/>
      <c r="K375" s="282"/>
      <c r="L375" s="282"/>
      <c r="M375" s="282"/>
      <c r="N375" s="282"/>
      <c r="O375" s="282"/>
      <c r="P375" s="282"/>
      <c r="Q375" s="282"/>
      <c r="R375" s="282"/>
      <c r="S375" s="282"/>
      <c r="T375" s="282"/>
      <c r="U375" s="282"/>
      <c r="V375" s="282"/>
      <c r="W375" s="282"/>
      <c r="X375" s="282"/>
    </row>
    <row r="376" customFormat="false" ht="14.25" hidden="false" customHeight="false" outlineLevel="0" collapsed="false">
      <c r="A376" s="282"/>
      <c r="B376" s="282"/>
      <c r="C376" s="282"/>
      <c r="D376" s="282"/>
      <c r="E376" s="282"/>
      <c r="F376" s="282"/>
      <c r="G376" s="282"/>
      <c r="H376" s="282"/>
      <c r="I376" s="282"/>
      <c r="J376" s="282"/>
      <c r="K376" s="282"/>
      <c r="L376" s="282"/>
      <c r="M376" s="282"/>
      <c r="N376" s="282"/>
      <c r="O376" s="282"/>
      <c r="P376" s="282"/>
      <c r="Q376" s="282"/>
      <c r="R376" s="282"/>
      <c r="S376" s="282"/>
      <c r="T376" s="282"/>
      <c r="U376" s="282"/>
      <c r="V376" s="282"/>
      <c r="W376" s="282"/>
      <c r="X376" s="282"/>
    </row>
    <row r="377" customFormat="false" ht="14.25" hidden="false" customHeight="false" outlineLevel="0" collapsed="false">
      <c r="A377" s="282"/>
      <c r="B377" s="282"/>
      <c r="C377" s="282"/>
      <c r="D377" s="282"/>
      <c r="E377" s="282"/>
      <c r="F377" s="282"/>
      <c r="G377" s="282"/>
      <c r="H377" s="282"/>
      <c r="I377" s="282"/>
      <c r="J377" s="282"/>
      <c r="K377" s="282"/>
      <c r="L377" s="282"/>
      <c r="M377" s="282"/>
      <c r="N377" s="282"/>
      <c r="O377" s="282"/>
      <c r="P377" s="282"/>
      <c r="Q377" s="282"/>
      <c r="R377" s="282"/>
      <c r="S377" s="282"/>
      <c r="T377" s="282"/>
      <c r="U377" s="282"/>
      <c r="V377" s="282"/>
      <c r="W377" s="282"/>
      <c r="X377" s="282"/>
    </row>
    <row r="378" customFormat="false" ht="14.25" hidden="false" customHeight="false" outlineLevel="0" collapsed="false">
      <c r="A378" s="282"/>
      <c r="B378" s="282"/>
      <c r="C378" s="282"/>
      <c r="D378" s="282"/>
      <c r="E378" s="282"/>
      <c r="F378" s="282"/>
      <c r="G378" s="282"/>
      <c r="H378" s="282"/>
      <c r="I378" s="282"/>
      <c r="J378" s="282"/>
      <c r="K378" s="282"/>
      <c r="L378" s="282"/>
      <c r="M378" s="282"/>
      <c r="N378" s="282"/>
      <c r="O378" s="282"/>
      <c r="P378" s="282"/>
      <c r="Q378" s="282"/>
      <c r="R378" s="282"/>
      <c r="S378" s="282"/>
      <c r="T378" s="282"/>
      <c r="U378" s="282"/>
      <c r="V378" s="282"/>
      <c r="W378" s="282"/>
      <c r="X378" s="282"/>
    </row>
    <row r="379" customFormat="false" ht="14.25" hidden="false" customHeight="false" outlineLevel="0" collapsed="false">
      <c r="A379" s="282"/>
      <c r="B379" s="282"/>
      <c r="C379" s="282"/>
      <c r="D379" s="282"/>
      <c r="E379" s="282"/>
      <c r="F379" s="282"/>
      <c r="G379" s="282"/>
      <c r="H379" s="282"/>
      <c r="I379" s="282"/>
      <c r="J379" s="282"/>
      <c r="K379" s="282"/>
      <c r="L379" s="282"/>
      <c r="M379" s="282"/>
      <c r="N379" s="282"/>
      <c r="O379" s="282"/>
      <c r="P379" s="282"/>
      <c r="Q379" s="282"/>
      <c r="R379" s="282"/>
      <c r="S379" s="282"/>
      <c r="T379" s="282"/>
      <c r="U379" s="282"/>
      <c r="V379" s="282"/>
      <c r="W379" s="282"/>
      <c r="X379" s="282"/>
    </row>
    <row r="380" customFormat="false" ht="14.25" hidden="false" customHeight="false" outlineLevel="0" collapsed="false">
      <c r="A380" s="282"/>
      <c r="B380" s="282"/>
      <c r="C380" s="282"/>
      <c r="D380" s="282"/>
      <c r="E380" s="282"/>
      <c r="F380" s="282"/>
      <c r="G380" s="282"/>
      <c r="H380" s="282"/>
      <c r="I380" s="282"/>
      <c r="J380" s="282"/>
      <c r="K380" s="282"/>
      <c r="L380" s="282"/>
      <c r="M380" s="282"/>
      <c r="N380" s="282"/>
      <c r="O380" s="282"/>
      <c r="P380" s="282"/>
      <c r="Q380" s="282"/>
      <c r="R380" s="282"/>
      <c r="S380" s="282"/>
      <c r="T380" s="282"/>
      <c r="U380" s="282"/>
      <c r="V380" s="282"/>
      <c r="W380" s="282"/>
      <c r="X380" s="282"/>
    </row>
    <row r="381" customFormat="false" ht="14.25" hidden="false" customHeight="false" outlineLevel="0" collapsed="false">
      <c r="A381" s="282"/>
      <c r="B381" s="282"/>
      <c r="C381" s="282"/>
      <c r="D381" s="282"/>
      <c r="E381" s="282"/>
      <c r="F381" s="282"/>
      <c r="G381" s="282"/>
      <c r="H381" s="282"/>
      <c r="I381" s="282"/>
      <c r="J381" s="282"/>
      <c r="K381" s="282"/>
      <c r="L381" s="282"/>
      <c r="M381" s="282"/>
      <c r="N381" s="282"/>
      <c r="O381" s="282"/>
      <c r="P381" s="282"/>
      <c r="Q381" s="282"/>
      <c r="R381" s="282"/>
      <c r="S381" s="282"/>
      <c r="T381" s="282"/>
      <c r="U381" s="282"/>
      <c r="V381" s="282"/>
      <c r="W381" s="282"/>
      <c r="X381" s="282"/>
    </row>
    <row r="382" customFormat="false" ht="14.25" hidden="false" customHeight="false" outlineLevel="0" collapsed="false">
      <c r="A382" s="282"/>
      <c r="B382" s="282"/>
      <c r="C382" s="282"/>
      <c r="D382" s="282"/>
      <c r="E382" s="282"/>
      <c r="F382" s="282"/>
      <c r="G382" s="282"/>
      <c r="H382" s="282"/>
      <c r="I382" s="282"/>
      <c r="J382" s="282"/>
      <c r="K382" s="282"/>
      <c r="L382" s="282"/>
      <c r="M382" s="282"/>
      <c r="N382" s="282"/>
      <c r="O382" s="282"/>
      <c r="P382" s="282"/>
      <c r="Q382" s="282"/>
      <c r="R382" s="282"/>
      <c r="S382" s="282"/>
      <c r="T382" s="282"/>
      <c r="U382" s="282"/>
      <c r="V382" s="282"/>
      <c r="W382" s="282"/>
      <c r="X382" s="282"/>
    </row>
    <row r="383" customFormat="false" ht="14.25" hidden="false" customHeight="false" outlineLevel="0" collapsed="false">
      <c r="A383" s="282"/>
      <c r="B383" s="282"/>
      <c r="C383" s="282"/>
      <c r="D383" s="282"/>
      <c r="E383" s="282"/>
      <c r="F383" s="282"/>
      <c r="G383" s="282"/>
      <c r="H383" s="282"/>
      <c r="I383" s="282"/>
      <c r="J383" s="282"/>
      <c r="K383" s="282"/>
      <c r="L383" s="282"/>
      <c r="M383" s="282"/>
      <c r="N383" s="282"/>
      <c r="O383" s="282"/>
      <c r="P383" s="282"/>
      <c r="Q383" s="282"/>
      <c r="R383" s="282"/>
      <c r="S383" s="282"/>
      <c r="T383" s="282"/>
      <c r="U383" s="282"/>
      <c r="V383" s="282"/>
      <c r="W383" s="282"/>
      <c r="X383" s="282"/>
    </row>
    <row r="384" customFormat="false" ht="14.25" hidden="false" customHeight="false" outlineLevel="0" collapsed="false">
      <c r="A384" s="282"/>
      <c r="B384" s="282"/>
      <c r="C384" s="282"/>
      <c r="D384" s="282"/>
      <c r="E384" s="282"/>
      <c r="F384" s="282"/>
      <c r="G384" s="282"/>
      <c r="H384" s="282"/>
      <c r="I384" s="282"/>
      <c r="J384" s="282"/>
      <c r="K384" s="282"/>
      <c r="L384" s="282"/>
      <c r="M384" s="282"/>
      <c r="N384" s="282"/>
      <c r="O384" s="282"/>
      <c r="P384" s="282"/>
      <c r="Q384" s="282"/>
      <c r="R384" s="282"/>
      <c r="S384" s="282"/>
      <c r="T384" s="282"/>
      <c r="U384" s="282"/>
      <c r="V384" s="282"/>
      <c r="W384" s="282"/>
      <c r="X384" s="282"/>
    </row>
    <row r="385" customFormat="false" ht="14.25" hidden="false" customHeight="false" outlineLevel="0" collapsed="false">
      <c r="A385" s="282"/>
      <c r="B385" s="282"/>
      <c r="C385" s="282"/>
      <c r="D385" s="282"/>
      <c r="E385" s="282"/>
      <c r="F385" s="282"/>
      <c r="G385" s="282"/>
      <c r="H385" s="282"/>
      <c r="I385" s="282"/>
      <c r="J385" s="282"/>
      <c r="K385" s="282"/>
      <c r="L385" s="282"/>
      <c r="M385" s="282"/>
      <c r="N385" s="282"/>
      <c r="O385" s="282"/>
      <c r="P385" s="282"/>
      <c r="Q385" s="282"/>
      <c r="R385" s="282"/>
      <c r="S385" s="282"/>
      <c r="T385" s="282"/>
      <c r="U385" s="282"/>
      <c r="V385" s="282"/>
      <c r="W385" s="282"/>
      <c r="X385" s="282"/>
    </row>
    <row r="386" customFormat="false" ht="14.25" hidden="false" customHeight="false" outlineLevel="0" collapsed="false">
      <c r="A386" s="282"/>
      <c r="B386" s="282"/>
      <c r="C386" s="282"/>
      <c r="D386" s="282"/>
      <c r="E386" s="282"/>
      <c r="F386" s="282"/>
      <c r="G386" s="282"/>
      <c r="H386" s="282"/>
      <c r="I386" s="282"/>
      <c r="J386" s="282"/>
      <c r="K386" s="282"/>
      <c r="L386" s="282"/>
      <c r="M386" s="282"/>
      <c r="N386" s="282"/>
      <c r="O386" s="282"/>
      <c r="P386" s="282"/>
      <c r="Q386" s="282"/>
      <c r="R386" s="282"/>
      <c r="S386" s="282"/>
      <c r="T386" s="282"/>
      <c r="U386" s="282"/>
      <c r="V386" s="282"/>
      <c r="W386" s="282"/>
      <c r="X386" s="282"/>
    </row>
    <row r="387" customFormat="false" ht="14.25" hidden="false" customHeight="false" outlineLevel="0" collapsed="false">
      <c r="A387" s="282"/>
      <c r="B387" s="282"/>
      <c r="C387" s="282"/>
      <c r="D387" s="282"/>
      <c r="E387" s="282"/>
      <c r="F387" s="282"/>
      <c r="G387" s="282"/>
      <c r="H387" s="282"/>
      <c r="I387" s="282"/>
      <c r="J387" s="282"/>
      <c r="K387" s="282"/>
      <c r="L387" s="282"/>
      <c r="M387" s="282"/>
      <c r="N387" s="282"/>
      <c r="O387" s="282"/>
      <c r="P387" s="282"/>
      <c r="Q387" s="282"/>
      <c r="R387" s="282"/>
      <c r="S387" s="282"/>
      <c r="T387" s="282"/>
      <c r="U387" s="282"/>
      <c r="V387" s="282"/>
      <c r="W387" s="282"/>
      <c r="X387" s="282"/>
    </row>
    <row r="388" customFormat="false" ht="14.25" hidden="false" customHeight="false" outlineLevel="0" collapsed="false">
      <c r="A388" s="282"/>
      <c r="B388" s="282"/>
      <c r="C388" s="282"/>
      <c r="D388" s="282"/>
      <c r="E388" s="282"/>
      <c r="F388" s="282"/>
      <c r="G388" s="282"/>
      <c r="H388" s="282"/>
      <c r="I388" s="282"/>
      <c r="J388" s="282"/>
      <c r="K388" s="282"/>
      <c r="L388" s="282"/>
      <c r="M388" s="282"/>
      <c r="N388" s="282"/>
      <c r="O388" s="282"/>
      <c r="P388" s="282"/>
      <c r="Q388" s="282"/>
      <c r="R388" s="282"/>
      <c r="S388" s="282"/>
      <c r="T388" s="282"/>
      <c r="U388" s="282"/>
      <c r="V388" s="282"/>
      <c r="W388" s="282"/>
      <c r="X388" s="282"/>
    </row>
    <row r="389" customFormat="false" ht="14.25" hidden="false" customHeight="false" outlineLevel="0" collapsed="false">
      <c r="A389" s="282"/>
      <c r="B389" s="282"/>
      <c r="C389" s="282"/>
      <c r="D389" s="282"/>
      <c r="E389" s="282"/>
      <c r="F389" s="282"/>
      <c r="G389" s="282"/>
      <c r="H389" s="282"/>
      <c r="I389" s="282"/>
      <c r="J389" s="282"/>
      <c r="K389" s="282"/>
      <c r="L389" s="282"/>
      <c r="M389" s="282"/>
      <c r="N389" s="282"/>
      <c r="O389" s="282"/>
      <c r="P389" s="282"/>
      <c r="Q389" s="282"/>
      <c r="R389" s="282"/>
      <c r="S389" s="282"/>
      <c r="T389" s="282"/>
      <c r="U389" s="282"/>
      <c r="V389" s="282"/>
      <c r="W389" s="282"/>
      <c r="X389" s="282"/>
    </row>
    <row r="390" customFormat="false" ht="14.25" hidden="false" customHeight="false" outlineLevel="0" collapsed="false">
      <c r="A390" s="282"/>
      <c r="B390" s="282"/>
      <c r="C390" s="282"/>
      <c r="D390" s="282"/>
      <c r="E390" s="282"/>
      <c r="F390" s="282"/>
      <c r="G390" s="282"/>
      <c r="H390" s="282"/>
      <c r="I390" s="282"/>
      <c r="J390" s="282"/>
      <c r="K390" s="282"/>
      <c r="L390" s="282"/>
      <c r="M390" s="282"/>
      <c r="N390" s="282"/>
      <c r="O390" s="282"/>
      <c r="P390" s="282"/>
      <c r="Q390" s="282"/>
      <c r="R390" s="282"/>
      <c r="S390" s="282"/>
      <c r="T390" s="282"/>
      <c r="U390" s="282"/>
      <c r="V390" s="282"/>
      <c r="W390" s="282"/>
      <c r="X390" s="282"/>
    </row>
    <row r="391" customFormat="false" ht="14.25" hidden="false" customHeight="false" outlineLevel="0" collapsed="false">
      <c r="A391" s="282"/>
      <c r="B391" s="282"/>
      <c r="C391" s="282"/>
      <c r="D391" s="282"/>
      <c r="E391" s="282"/>
      <c r="F391" s="282"/>
      <c r="G391" s="282"/>
      <c r="H391" s="282"/>
      <c r="I391" s="282"/>
      <c r="J391" s="282"/>
      <c r="K391" s="282"/>
      <c r="L391" s="282"/>
      <c r="M391" s="282"/>
      <c r="N391" s="282"/>
      <c r="O391" s="282"/>
      <c r="P391" s="282"/>
      <c r="Q391" s="282"/>
      <c r="R391" s="282"/>
      <c r="S391" s="282"/>
      <c r="T391" s="282"/>
      <c r="U391" s="282"/>
      <c r="V391" s="282"/>
      <c r="W391" s="282"/>
      <c r="X391" s="282"/>
    </row>
    <row r="392" customFormat="false" ht="14.25" hidden="false" customHeight="false" outlineLevel="0" collapsed="false">
      <c r="A392" s="282"/>
      <c r="B392" s="282"/>
      <c r="C392" s="282"/>
      <c r="D392" s="282"/>
      <c r="E392" s="282"/>
      <c r="F392" s="282"/>
      <c r="G392" s="282"/>
      <c r="H392" s="282"/>
      <c r="I392" s="282"/>
      <c r="J392" s="282"/>
      <c r="K392" s="282"/>
      <c r="L392" s="282"/>
      <c r="M392" s="282"/>
      <c r="N392" s="282"/>
      <c r="O392" s="282"/>
      <c r="P392" s="282"/>
      <c r="Q392" s="282"/>
      <c r="R392" s="282"/>
      <c r="S392" s="282"/>
      <c r="T392" s="282"/>
      <c r="U392" s="282"/>
      <c r="V392" s="282"/>
      <c r="W392" s="282"/>
      <c r="X392" s="282"/>
    </row>
    <row r="393" customFormat="false" ht="14.25" hidden="false" customHeight="false" outlineLevel="0" collapsed="false">
      <c r="A393" s="282"/>
      <c r="B393" s="282"/>
      <c r="C393" s="282"/>
      <c r="D393" s="282"/>
      <c r="E393" s="282"/>
      <c r="F393" s="282"/>
      <c r="G393" s="282"/>
      <c r="H393" s="282"/>
      <c r="I393" s="282"/>
      <c r="J393" s="282"/>
      <c r="K393" s="282"/>
      <c r="L393" s="282"/>
      <c r="M393" s="282"/>
      <c r="N393" s="282"/>
      <c r="O393" s="282"/>
      <c r="P393" s="282"/>
      <c r="Q393" s="282"/>
      <c r="R393" s="282"/>
      <c r="S393" s="282"/>
      <c r="T393" s="282"/>
      <c r="U393" s="282"/>
      <c r="V393" s="282"/>
      <c r="W393" s="282"/>
      <c r="X393" s="282"/>
    </row>
    <row r="394" customFormat="false" ht="14.25" hidden="false" customHeight="false" outlineLevel="0" collapsed="false">
      <c r="A394" s="282"/>
      <c r="B394" s="282"/>
      <c r="C394" s="282"/>
      <c r="D394" s="282"/>
      <c r="E394" s="282"/>
      <c r="F394" s="282"/>
      <c r="G394" s="282"/>
      <c r="H394" s="282"/>
      <c r="I394" s="282"/>
      <c r="J394" s="282"/>
      <c r="K394" s="282"/>
      <c r="L394" s="282"/>
      <c r="M394" s="282"/>
      <c r="N394" s="282"/>
      <c r="O394" s="282"/>
      <c r="P394" s="282"/>
      <c r="Q394" s="282"/>
      <c r="R394" s="282"/>
      <c r="S394" s="282"/>
      <c r="T394" s="282"/>
      <c r="U394" s="282"/>
      <c r="V394" s="282"/>
      <c r="W394" s="282"/>
      <c r="X394" s="282"/>
    </row>
    <row r="395" customFormat="false" ht="14.25" hidden="false" customHeight="false" outlineLevel="0" collapsed="false">
      <c r="A395" s="282"/>
      <c r="B395" s="282"/>
      <c r="C395" s="282"/>
      <c r="D395" s="282"/>
      <c r="E395" s="282"/>
      <c r="F395" s="282"/>
      <c r="G395" s="282"/>
      <c r="H395" s="282"/>
      <c r="I395" s="282"/>
      <c r="J395" s="282"/>
      <c r="K395" s="282"/>
      <c r="L395" s="282"/>
      <c r="M395" s="282"/>
      <c r="N395" s="282"/>
      <c r="O395" s="282"/>
      <c r="P395" s="282"/>
      <c r="Q395" s="282"/>
      <c r="R395" s="282"/>
      <c r="S395" s="282"/>
      <c r="T395" s="282"/>
      <c r="U395" s="282"/>
      <c r="V395" s="282"/>
      <c r="W395" s="282"/>
      <c r="X395" s="282"/>
    </row>
    <row r="396" customFormat="false" ht="14.25" hidden="false" customHeight="false" outlineLevel="0" collapsed="false">
      <c r="A396" s="282"/>
      <c r="B396" s="282"/>
      <c r="C396" s="282"/>
      <c r="D396" s="282"/>
      <c r="E396" s="282"/>
      <c r="F396" s="282"/>
      <c r="G396" s="282"/>
      <c r="H396" s="282"/>
      <c r="I396" s="282"/>
      <c r="J396" s="282"/>
      <c r="K396" s="282"/>
      <c r="L396" s="282"/>
      <c r="M396" s="282"/>
      <c r="N396" s="282"/>
      <c r="O396" s="282"/>
      <c r="P396" s="282"/>
      <c r="Q396" s="282"/>
      <c r="R396" s="282"/>
      <c r="S396" s="282"/>
      <c r="T396" s="282"/>
      <c r="U396" s="282"/>
      <c r="V396" s="282"/>
      <c r="W396" s="282"/>
      <c r="X396" s="282"/>
    </row>
    <row r="397" customFormat="false" ht="14.25" hidden="false" customHeight="false" outlineLevel="0" collapsed="false">
      <c r="A397" s="282"/>
      <c r="B397" s="282"/>
      <c r="C397" s="282"/>
      <c r="D397" s="282"/>
      <c r="E397" s="282"/>
      <c r="F397" s="282"/>
      <c r="G397" s="282"/>
      <c r="H397" s="282"/>
      <c r="I397" s="282"/>
      <c r="J397" s="282"/>
      <c r="K397" s="282"/>
      <c r="L397" s="282"/>
      <c r="M397" s="282"/>
      <c r="N397" s="282"/>
      <c r="O397" s="282"/>
      <c r="P397" s="282"/>
      <c r="Q397" s="282"/>
      <c r="R397" s="282"/>
      <c r="S397" s="282"/>
      <c r="T397" s="282"/>
      <c r="U397" s="282"/>
      <c r="V397" s="282"/>
      <c r="W397" s="282"/>
      <c r="X397" s="282"/>
    </row>
    <row r="398" customFormat="false" ht="14.25" hidden="false" customHeight="false" outlineLevel="0" collapsed="false">
      <c r="A398" s="282"/>
      <c r="B398" s="282"/>
      <c r="C398" s="282"/>
      <c r="D398" s="282"/>
      <c r="E398" s="282"/>
      <c r="F398" s="282"/>
      <c r="G398" s="282"/>
      <c r="H398" s="282"/>
      <c r="I398" s="282"/>
      <c r="J398" s="282"/>
      <c r="K398" s="282"/>
      <c r="L398" s="282"/>
      <c r="M398" s="282"/>
      <c r="N398" s="282"/>
      <c r="O398" s="282"/>
      <c r="P398" s="282"/>
      <c r="Q398" s="282"/>
      <c r="R398" s="282"/>
      <c r="S398" s="282"/>
      <c r="T398" s="282"/>
      <c r="U398" s="282"/>
      <c r="V398" s="282"/>
      <c r="W398" s="282"/>
      <c r="X398" s="282"/>
    </row>
    <row r="399" customFormat="false" ht="14.25" hidden="false" customHeight="false" outlineLevel="0" collapsed="false">
      <c r="A399" s="282"/>
      <c r="B399" s="282"/>
      <c r="C399" s="282"/>
      <c r="D399" s="282"/>
      <c r="E399" s="282"/>
      <c r="F399" s="282"/>
      <c r="G399" s="282"/>
      <c r="H399" s="282"/>
      <c r="I399" s="282"/>
      <c r="J399" s="282"/>
      <c r="K399" s="282"/>
      <c r="L399" s="282"/>
      <c r="M399" s="282"/>
      <c r="N399" s="282"/>
      <c r="O399" s="282"/>
      <c r="P399" s="282"/>
      <c r="Q399" s="282"/>
      <c r="R399" s="282"/>
      <c r="S399" s="282"/>
      <c r="T399" s="282"/>
      <c r="U399" s="282"/>
      <c r="V399" s="282"/>
      <c r="W399" s="282"/>
      <c r="X399" s="282"/>
    </row>
    <row r="400" customFormat="false" ht="14.25" hidden="false" customHeight="false" outlineLevel="0" collapsed="false">
      <c r="A400" s="282"/>
      <c r="B400" s="282"/>
      <c r="C400" s="282"/>
      <c r="D400" s="282"/>
      <c r="E400" s="282"/>
      <c r="F400" s="282"/>
      <c r="G400" s="282"/>
      <c r="H400" s="282"/>
      <c r="I400" s="282"/>
      <c r="J400" s="282"/>
      <c r="K400" s="282"/>
      <c r="L400" s="282"/>
      <c r="M400" s="282"/>
      <c r="N400" s="282"/>
      <c r="O400" s="282"/>
      <c r="P400" s="282"/>
      <c r="Q400" s="282"/>
      <c r="R400" s="282"/>
      <c r="S400" s="282"/>
      <c r="T400" s="282"/>
      <c r="U400" s="282"/>
      <c r="V400" s="282"/>
      <c r="W400" s="282"/>
      <c r="X400" s="282"/>
    </row>
    <row r="401" customFormat="false" ht="14.25" hidden="false" customHeight="false" outlineLevel="0" collapsed="false">
      <c r="A401" s="282"/>
      <c r="B401" s="282"/>
      <c r="C401" s="282"/>
      <c r="D401" s="282"/>
      <c r="E401" s="282"/>
      <c r="F401" s="282"/>
      <c r="G401" s="282"/>
      <c r="H401" s="282"/>
      <c r="I401" s="282"/>
      <c r="J401" s="282"/>
      <c r="K401" s="282"/>
      <c r="L401" s="282"/>
      <c r="M401" s="282"/>
      <c r="N401" s="282"/>
      <c r="O401" s="282"/>
      <c r="P401" s="282"/>
      <c r="Q401" s="282"/>
      <c r="R401" s="282"/>
      <c r="S401" s="282"/>
      <c r="T401" s="282"/>
      <c r="U401" s="282"/>
      <c r="V401" s="282"/>
      <c r="W401" s="282"/>
      <c r="X401" s="282"/>
    </row>
    <row r="402" customFormat="false" ht="14.25" hidden="false" customHeight="false" outlineLevel="0" collapsed="false">
      <c r="A402" s="282"/>
      <c r="B402" s="282"/>
      <c r="C402" s="282"/>
      <c r="D402" s="282"/>
      <c r="E402" s="282"/>
      <c r="F402" s="282"/>
      <c r="G402" s="282"/>
      <c r="H402" s="282"/>
      <c r="I402" s="282"/>
      <c r="J402" s="282"/>
      <c r="K402" s="282"/>
      <c r="L402" s="282"/>
      <c r="M402" s="282"/>
      <c r="N402" s="282"/>
      <c r="O402" s="282"/>
      <c r="P402" s="282"/>
      <c r="Q402" s="282"/>
      <c r="R402" s="282"/>
      <c r="S402" s="282"/>
      <c r="T402" s="282"/>
      <c r="U402" s="282"/>
      <c r="V402" s="282"/>
      <c r="W402" s="282"/>
      <c r="X402" s="282"/>
    </row>
    <row r="403" customFormat="false" ht="14.25" hidden="false" customHeight="false" outlineLevel="0" collapsed="false">
      <c r="A403" s="282"/>
      <c r="B403" s="282"/>
      <c r="C403" s="282"/>
      <c r="D403" s="282"/>
      <c r="E403" s="282"/>
      <c r="F403" s="282"/>
      <c r="G403" s="282"/>
      <c r="H403" s="282"/>
      <c r="I403" s="282"/>
      <c r="J403" s="282"/>
      <c r="K403" s="282"/>
      <c r="L403" s="282"/>
      <c r="M403" s="282"/>
      <c r="N403" s="282"/>
      <c r="O403" s="282"/>
      <c r="P403" s="282"/>
      <c r="Q403" s="282"/>
      <c r="R403" s="282"/>
      <c r="S403" s="282"/>
      <c r="T403" s="282"/>
      <c r="U403" s="282"/>
      <c r="V403" s="282"/>
      <c r="W403" s="282"/>
      <c r="X403" s="282"/>
    </row>
    <row r="404" customFormat="false" ht="14.25" hidden="false" customHeight="false" outlineLevel="0" collapsed="false">
      <c r="A404" s="282"/>
      <c r="B404" s="282"/>
      <c r="C404" s="282"/>
      <c r="D404" s="282"/>
      <c r="E404" s="282"/>
      <c r="F404" s="282"/>
      <c r="G404" s="282"/>
      <c r="H404" s="282"/>
      <c r="I404" s="282"/>
      <c r="J404" s="282"/>
      <c r="K404" s="282"/>
      <c r="L404" s="282"/>
      <c r="M404" s="282"/>
      <c r="N404" s="282"/>
      <c r="O404" s="282"/>
      <c r="P404" s="282"/>
      <c r="Q404" s="282"/>
      <c r="R404" s="282"/>
      <c r="S404" s="282"/>
      <c r="T404" s="282"/>
      <c r="U404" s="282"/>
      <c r="V404" s="282"/>
      <c r="W404" s="282"/>
      <c r="X404" s="282"/>
    </row>
    <row r="405" customFormat="false" ht="14.25" hidden="false" customHeight="false" outlineLevel="0" collapsed="false">
      <c r="A405" s="282"/>
      <c r="B405" s="282"/>
      <c r="C405" s="282"/>
      <c r="D405" s="282"/>
      <c r="E405" s="282"/>
      <c r="F405" s="282"/>
      <c r="G405" s="282"/>
      <c r="H405" s="282"/>
      <c r="I405" s="282"/>
      <c r="J405" s="282"/>
      <c r="K405" s="282"/>
      <c r="L405" s="282"/>
      <c r="M405" s="282"/>
      <c r="N405" s="282"/>
      <c r="O405" s="282"/>
      <c r="P405" s="282"/>
      <c r="Q405" s="282"/>
      <c r="R405" s="282"/>
      <c r="S405" s="282"/>
      <c r="T405" s="282"/>
      <c r="U405" s="282"/>
      <c r="V405" s="282"/>
      <c r="W405" s="282"/>
      <c r="X405" s="282"/>
    </row>
    <row r="406" customFormat="false" ht="14.25" hidden="false" customHeight="false" outlineLevel="0" collapsed="false">
      <c r="A406" s="282"/>
      <c r="B406" s="282"/>
      <c r="C406" s="282"/>
      <c r="D406" s="282"/>
      <c r="E406" s="282"/>
      <c r="F406" s="282"/>
      <c r="G406" s="282"/>
      <c r="H406" s="282"/>
      <c r="I406" s="282"/>
      <c r="J406" s="282"/>
      <c r="K406" s="282"/>
      <c r="L406" s="282"/>
      <c r="M406" s="282"/>
      <c r="N406" s="282"/>
      <c r="O406" s="282"/>
      <c r="P406" s="282"/>
      <c r="Q406" s="282"/>
      <c r="R406" s="282"/>
      <c r="S406" s="282"/>
      <c r="T406" s="282"/>
      <c r="U406" s="282"/>
      <c r="V406" s="282"/>
      <c r="W406" s="282"/>
      <c r="X406" s="282"/>
    </row>
    <row r="407" customFormat="false" ht="14.25" hidden="false" customHeight="false" outlineLevel="0" collapsed="false">
      <c r="A407" s="282"/>
      <c r="B407" s="282"/>
      <c r="C407" s="282"/>
      <c r="D407" s="282"/>
      <c r="E407" s="282"/>
      <c r="F407" s="282"/>
      <c r="G407" s="282"/>
      <c r="H407" s="282"/>
      <c r="I407" s="282"/>
      <c r="J407" s="282"/>
      <c r="K407" s="282"/>
      <c r="L407" s="282"/>
      <c r="M407" s="282"/>
      <c r="N407" s="282"/>
      <c r="O407" s="282"/>
      <c r="P407" s="282"/>
      <c r="Q407" s="282"/>
      <c r="R407" s="282"/>
      <c r="S407" s="282"/>
      <c r="T407" s="282"/>
      <c r="U407" s="282"/>
      <c r="V407" s="282"/>
      <c r="W407" s="282"/>
      <c r="X407" s="282"/>
    </row>
    <row r="408" customFormat="false" ht="14.25" hidden="false" customHeight="false" outlineLevel="0" collapsed="false">
      <c r="A408" s="282"/>
      <c r="B408" s="282"/>
      <c r="C408" s="282"/>
      <c r="D408" s="282"/>
      <c r="E408" s="282"/>
      <c r="F408" s="282"/>
      <c r="G408" s="282"/>
      <c r="H408" s="282"/>
      <c r="I408" s="282"/>
      <c r="J408" s="282"/>
      <c r="K408" s="282"/>
      <c r="L408" s="282"/>
      <c r="M408" s="282"/>
      <c r="N408" s="282"/>
      <c r="O408" s="282"/>
      <c r="P408" s="282"/>
      <c r="Q408" s="282"/>
      <c r="R408" s="282"/>
      <c r="S408" s="282"/>
      <c r="T408" s="282"/>
      <c r="U408" s="282"/>
      <c r="V408" s="282"/>
      <c r="W408" s="282"/>
      <c r="X408" s="282"/>
    </row>
    <row r="409" customFormat="false" ht="14.25" hidden="false" customHeight="false" outlineLevel="0" collapsed="false">
      <c r="A409" s="282"/>
      <c r="B409" s="282"/>
      <c r="C409" s="282"/>
      <c r="D409" s="282"/>
      <c r="E409" s="282"/>
      <c r="F409" s="282"/>
      <c r="G409" s="282"/>
      <c r="H409" s="282"/>
      <c r="I409" s="282"/>
      <c r="J409" s="282"/>
      <c r="K409" s="282"/>
      <c r="L409" s="282"/>
      <c r="M409" s="282"/>
      <c r="N409" s="282"/>
      <c r="O409" s="282"/>
      <c r="P409" s="282"/>
      <c r="Q409" s="282"/>
      <c r="R409" s="282"/>
      <c r="S409" s="282"/>
      <c r="T409" s="282"/>
      <c r="U409" s="282"/>
      <c r="V409" s="282"/>
      <c r="W409" s="282"/>
      <c r="X409" s="282"/>
    </row>
    <row r="410" customFormat="false" ht="14.25" hidden="false" customHeight="false" outlineLevel="0" collapsed="false">
      <c r="A410" s="282"/>
      <c r="B410" s="282"/>
      <c r="C410" s="282"/>
      <c r="D410" s="282"/>
      <c r="E410" s="282"/>
      <c r="F410" s="282"/>
      <c r="G410" s="282"/>
      <c r="H410" s="282"/>
      <c r="I410" s="282"/>
      <c r="J410" s="282"/>
      <c r="K410" s="282"/>
      <c r="L410" s="282"/>
      <c r="M410" s="282"/>
      <c r="N410" s="282"/>
      <c r="O410" s="282"/>
      <c r="P410" s="282"/>
      <c r="Q410" s="282"/>
      <c r="R410" s="282"/>
      <c r="S410" s="282"/>
      <c r="T410" s="282"/>
      <c r="U410" s="282"/>
      <c r="V410" s="282"/>
      <c r="W410" s="282"/>
      <c r="X410" s="282"/>
    </row>
    <row r="411" customFormat="false" ht="14.25" hidden="false" customHeight="false" outlineLevel="0" collapsed="false">
      <c r="A411" s="282"/>
      <c r="B411" s="282"/>
      <c r="C411" s="282"/>
      <c r="D411" s="282"/>
      <c r="E411" s="282"/>
      <c r="F411" s="282"/>
      <c r="G411" s="282"/>
      <c r="H411" s="282"/>
      <c r="I411" s="282"/>
      <c r="J411" s="282"/>
      <c r="K411" s="282"/>
      <c r="L411" s="282"/>
      <c r="M411" s="282"/>
      <c r="N411" s="282"/>
      <c r="O411" s="282"/>
      <c r="P411" s="282"/>
      <c r="Q411" s="282"/>
      <c r="R411" s="282"/>
      <c r="S411" s="282"/>
      <c r="T411" s="282"/>
      <c r="U411" s="282"/>
      <c r="V411" s="282"/>
      <c r="W411" s="282"/>
      <c r="X411" s="282"/>
    </row>
    <row r="412" customFormat="false" ht="14.25" hidden="false" customHeight="false" outlineLevel="0" collapsed="false">
      <c r="A412" s="282"/>
      <c r="B412" s="282"/>
      <c r="C412" s="282"/>
      <c r="D412" s="282"/>
      <c r="E412" s="282"/>
      <c r="F412" s="282"/>
      <c r="G412" s="282"/>
      <c r="H412" s="282"/>
      <c r="I412" s="282"/>
      <c r="J412" s="282"/>
      <c r="K412" s="282"/>
      <c r="L412" s="282"/>
      <c r="M412" s="282"/>
      <c r="N412" s="282"/>
      <c r="O412" s="282"/>
      <c r="P412" s="282"/>
      <c r="Q412" s="282"/>
      <c r="R412" s="282"/>
      <c r="S412" s="282"/>
      <c r="T412" s="282"/>
      <c r="U412" s="282"/>
      <c r="V412" s="282"/>
      <c r="W412" s="282"/>
      <c r="X412" s="282"/>
    </row>
    <row r="413" customFormat="false" ht="14.25" hidden="false" customHeight="false" outlineLevel="0" collapsed="false">
      <c r="A413" s="282"/>
      <c r="B413" s="282"/>
      <c r="C413" s="282"/>
      <c r="D413" s="282"/>
      <c r="E413" s="282"/>
      <c r="F413" s="282"/>
      <c r="G413" s="282"/>
      <c r="H413" s="282"/>
      <c r="I413" s="282"/>
      <c r="J413" s="282"/>
      <c r="K413" s="282"/>
      <c r="L413" s="282"/>
      <c r="M413" s="282"/>
      <c r="N413" s="282"/>
      <c r="O413" s="282"/>
      <c r="P413" s="282"/>
      <c r="Q413" s="282"/>
      <c r="R413" s="282"/>
      <c r="S413" s="282"/>
      <c r="T413" s="282"/>
      <c r="U413" s="282"/>
      <c r="V413" s="282"/>
      <c r="W413" s="282"/>
      <c r="X413" s="282"/>
    </row>
    <row r="414" customFormat="false" ht="14.25" hidden="false" customHeight="false" outlineLevel="0" collapsed="false">
      <c r="A414" s="282"/>
      <c r="B414" s="282"/>
      <c r="C414" s="282"/>
      <c r="D414" s="282"/>
      <c r="E414" s="282"/>
      <c r="F414" s="282"/>
      <c r="G414" s="282"/>
      <c r="H414" s="282"/>
      <c r="I414" s="282"/>
      <c r="J414" s="282"/>
      <c r="K414" s="282"/>
      <c r="L414" s="282"/>
      <c r="M414" s="282"/>
      <c r="N414" s="282"/>
      <c r="O414" s="282"/>
      <c r="P414" s="282"/>
      <c r="Q414" s="282"/>
      <c r="R414" s="282"/>
      <c r="S414" s="282"/>
      <c r="T414" s="282"/>
      <c r="U414" s="282"/>
      <c r="V414" s="282"/>
      <c r="W414" s="282"/>
      <c r="X414" s="282"/>
    </row>
    <row r="415" customFormat="false" ht="14.25" hidden="false" customHeight="false" outlineLevel="0" collapsed="false">
      <c r="A415" s="282"/>
      <c r="B415" s="282"/>
      <c r="C415" s="282"/>
      <c r="D415" s="282"/>
      <c r="E415" s="282"/>
      <c r="F415" s="282"/>
      <c r="G415" s="282"/>
      <c r="H415" s="282"/>
      <c r="I415" s="282"/>
      <c r="J415" s="282"/>
      <c r="K415" s="282"/>
      <c r="L415" s="282"/>
      <c r="M415" s="282"/>
      <c r="N415" s="282"/>
      <c r="O415" s="282"/>
      <c r="P415" s="282"/>
      <c r="Q415" s="282"/>
      <c r="R415" s="282"/>
      <c r="S415" s="282"/>
      <c r="T415" s="282"/>
      <c r="U415" s="282"/>
      <c r="V415" s="282"/>
      <c r="W415" s="282"/>
      <c r="X415" s="282"/>
    </row>
    <row r="416" customFormat="false" ht="14.25" hidden="false" customHeight="false" outlineLevel="0" collapsed="false">
      <c r="A416" s="282"/>
      <c r="B416" s="282"/>
      <c r="C416" s="282"/>
      <c r="D416" s="282"/>
      <c r="E416" s="282"/>
      <c r="F416" s="282"/>
      <c r="G416" s="282"/>
      <c r="H416" s="282"/>
      <c r="I416" s="282"/>
      <c r="J416" s="282"/>
      <c r="K416" s="282"/>
      <c r="L416" s="282"/>
      <c r="M416" s="282"/>
      <c r="N416" s="282"/>
      <c r="O416" s="282"/>
      <c r="P416" s="282"/>
      <c r="Q416" s="282"/>
      <c r="R416" s="282"/>
      <c r="S416" s="282"/>
      <c r="T416" s="282"/>
      <c r="U416" s="282"/>
      <c r="V416" s="282"/>
      <c r="W416" s="282"/>
      <c r="X416" s="282"/>
    </row>
    <row r="417" customFormat="false" ht="14.25" hidden="false" customHeight="false" outlineLevel="0" collapsed="false">
      <c r="A417" s="282"/>
      <c r="B417" s="282"/>
      <c r="C417" s="282"/>
      <c r="D417" s="282"/>
      <c r="E417" s="282"/>
      <c r="F417" s="282"/>
      <c r="G417" s="282"/>
      <c r="H417" s="282"/>
      <c r="I417" s="282"/>
      <c r="J417" s="282"/>
      <c r="K417" s="282"/>
      <c r="L417" s="282"/>
      <c r="M417" s="282"/>
      <c r="N417" s="282"/>
      <c r="O417" s="282"/>
      <c r="P417" s="282"/>
      <c r="Q417" s="282"/>
      <c r="R417" s="282"/>
      <c r="S417" s="282"/>
      <c r="T417" s="282"/>
      <c r="U417" s="282"/>
      <c r="V417" s="282"/>
      <c r="W417" s="282"/>
      <c r="X417" s="282"/>
    </row>
    <row r="418" customFormat="false" ht="14.25" hidden="false" customHeight="false" outlineLevel="0" collapsed="false">
      <c r="A418" s="282"/>
      <c r="B418" s="282"/>
      <c r="C418" s="282"/>
      <c r="D418" s="282"/>
      <c r="E418" s="282"/>
      <c r="F418" s="282"/>
      <c r="G418" s="282"/>
      <c r="H418" s="282"/>
      <c r="I418" s="282"/>
      <c r="J418" s="282"/>
      <c r="K418" s="282"/>
      <c r="L418" s="282"/>
      <c r="M418" s="282"/>
      <c r="N418" s="282"/>
      <c r="O418" s="282"/>
      <c r="P418" s="282"/>
      <c r="Q418" s="282"/>
      <c r="R418" s="282"/>
      <c r="S418" s="282"/>
      <c r="T418" s="282"/>
      <c r="U418" s="282"/>
      <c r="V418" s="282"/>
      <c r="W418" s="282"/>
      <c r="X418" s="282"/>
    </row>
    <row r="419" customFormat="false" ht="14.25" hidden="false" customHeight="false" outlineLevel="0" collapsed="false">
      <c r="A419" s="282"/>
      <c r="B419" s="282"/>
      <c r="C419" s="282"/>
      <c r="D419" s="282"/>
      <c r="E419" s="282"/>
      <c r="F419" s="282"/>
      <c r="G419" s="282"/>
      <c r="H419" s="282"/>
      <c r="I419" s="282"/>
      <c r="J419" s="282"/>
      <c r="K419" s="282"/>
      <c r="L419" s="282"/>
      <c r="M419" s="282"/>
      <c r="N419" s="282"/>
      <c r="O419" s="282"/>
      <c r="P419" s="282"/>
      <c r="Q419" s="282"/>
      <c r="R419" s="282"/>
      <c r="S419" s="282"/>
      <c r="T419" s="282"/>
      <c r="U419" s="282"/>
      <c r="V419" s="282"/>
      <c r="W419" s="282"/>
      <c r="X419" s="282"/>
    </row>
    <row r="420" customFormat="false" ht="14.25" hidden="false" customHeight="false" outlineLevel="0" collapsed="false">
      <c r="A420" s="282"/>
      <c r="B420" s="282"/>
      <c r="C420" s="282"/>
      <c r="D420" s="282"/>
      <c r="E420" s="282"/>
      <c r="F420" s="282"/>
      <c r="G420" s="282"/>
      <c r="H420" s="282"/>
      <c r="I420" s="282"/>
      <c r="J420" s="282"/>
      <c r="K420" s="282"/>
      <c r="L420" s="282"/>
      <c r="M420" s="282"/>
      <c r="N420" s="282"/>
      <c r="O420" s="282"/>
      <c r="P420" s="282"/>
      <c r="Q420" s="282"/>
      <c r="R420" s="282"/>
      <c r="S420" s="282"/>
      <c r="T420" s="282"/>
      <c r="U420" s="282"/>
      <c r="V420" s="282"/>
      <c r="W420" s="282"/>
      <c r="X420" s="282"/>
    </row>
    <row r="421" customFormat="false" ht="14.25" hidden="false" customHeight="false" outlineLevel="0" collapsed="false">
      <c r="A421" s="282"/>
      <c r="B421" s="282"/>
      <c r="C421" s="282"/>
      <c r="D421" s="282"/>
      <c r="E421" s="282"/>
      <c r="F421" s="282"/>
      <c r="G421" s="282"/>
      <c r="H421" s="282"/>
      <c r="I421" s="282"/>
      <c r="J421" s="282"/>
      <c r="K421" s="282"/>
      <c r="L421" s="282"/>
      <c r="M421" s="282"/>
      <c r="N421" s="282"/>
      <c r="O421" s="282"/>
      <c r="P421" s="282"/>
      <c r="Q421" s="282"/>
      <c r="R421" s="282"/>
      <c r="S421" s="282"/>
      <c r="T421" s="282"/>
      <c r="U421" s="282"/>
      <c r="V421" s="282"/>
      <c r="W421" s="282"/>
      <c r="X421" s="282"/>
    </row>
    <row r="422" customFormat="false" ht="14.25" hidden="false" customHeight="false" outlineLevel="0" collapsed="false">
      <c r="A422" s="282"/>
      <c r="B422" s="282"/>
      <c r="C422" s="282"/>
      <c r="D422" s="282"/>
      <c r="E422" s="282"/>
      <c r="F422" s="282"/>
      <c r="G422" s="282"/>
      <c r="H422" s="282"/>
      <c r="I422" s="282"/>
      <c r="J422" s="282"/>
      <c r="K422" s="282"/>
      <c r="L422" s="282"/>
      <c r="M422" s="282"/>
      <c r="N422" s="282"/>
      <c r="O422" s="282"/>
      <c r="P422" s="282"/>
      <c r="Q422" s="282"/>
      <c r="R422" s="282"/>
      <c r="S422" s="282"/>
      <c r="T422" s="282"/>
      <c r="U422" s="282"/>
      <c r="V422" s="282"/>
      <c r="W422" s="282"/>
      <c r="X422" s="282"/>
    </row>
    <row r="423" customFormat="false" ht="14.25" hidden="false" customHeight="false" outlineLevel="0" collapsed="false">
      <c r="A423" s="282"/>
      <c r="B423" s="282"/>
      <c r="C423" s="282"/>
      <c r="D423" s="282"/>
      <c r="E423" s="282"/>
      <c r="F423" s="282"/>
      <c r="G423" s="282"/>
      <c r="H423" s="282"/>
      <c r="I423" s="282"/>
      <c r="J423" s="282"/>
      <c r="K423" s="282"/>
      <c r="L423" s="282"/>
      <c r="M423" s="282"/>
      <c r="N423" s="282"/>
      <c r="O423" s="282"/>
      <c r="P423" s="282"/>
      <c r="Q423" s="282"/>
      <c r="R423" s="282"/>
      <c r="S423" s="282"/>
      <c r="T423" s="282"/>
      <c r="U423" s="282"/>
      <c r="V423" s="282"/>
      <c r="W423" s="282"/>
      <c r="X423" s="282"/>
    </row>
    <row r="424" customFormat="false" ht="14.25" hidden="false" customHeight="false" outlineLevel="0" collapsed="false">
      <c r="A424" s="282"/>
      <c r="B424" s="282"/>
      <c r="C424" s="282"/>
      <c r="D424" s="282"/>
      <c r="E424" s="282"/>
      <c r="F424" s="282"/>
      <c r="G424" s="282"/>
      <c r="H424" s="282"/>
      <c r="I424" s="282"/>
      <c r="J424" s="282"/>
      <c r="K424" s="282"/>
      <c r="L424" s="282"/>
      <c r="M424" s="282"/>
      <c r="N424" s="282"/>
      <c r="O424" s="282"/>
      <c r="P424" s="282"/>
      <c r="Q424" s="282"/>
      <c r="R424" s="282"/>
      <c r="S424" s="282"/>
      <c r="T424" s="282"/>
      <c r="U424" s="282"/>
      <c r="V424" s="282"/>
      <c r="W424" s="282"/>
      <c r="X424" s="282"/>
    </row>
    <row r="425" customFormat="false" ht="14.25" hidden="false" customHeight="false" outlineLevel="0" collapsed="false">
      <c r="A425" s="282"/>
      <c r="B425" s="282"/>
      <c r="C425" s="282"/>
      <c r="D425" s="282"/>
      <c r="E425" s="282"/>
      <c r="F425" s="282"/>
      <c r="G425" s="282"/>
      <c r="H425" s="282"/>
      <c r="I425" s="282"/>
      <c r="J425" s="282"/>
      <c r="K425" s="282"/>
      <c r="L425" s="282"/>
      <c r="M425" s="282"/>
      <c r="N425" s="282"/>
      <c r="O425" s="282"/>
      <c r="P425" s="282"/>
      <c r="Q425" s="282"/>
      <c r="R425" s="282"/>
      <c r="S425" s="282"/>
      <c r="T425" s="282"/>
      <c r="U425" s="282"/>
      <c r="V425" s="282"/>
      <c r="W425" s="282"/>
      <c r="X425" s="282"/>
    </row>
    <row r="426" customFormat="false" ht="14.25" hidden="false" customHeight="false" outlineLevel="0" collapsed="false">
      <c r="A426" s="282"/>
      <c r="B426" s="282"/>
      <c r="C426" s="282"/>
      <c r="D426" s="282"/>
      <c r="E426" s="282"/>
      <c r="F426" s="282"/>
      <c r="G426" s="282"/>
      <c r="H426" s="282"/>
      <c r="I426" s="282"/>
      <c r="J426" s="282"/>
      <c r="K426" s="282"/>
      <c r="L426" s="282"/>
      <c r="M426" s="282"/>
      <c r="N426" s="282"/>
      <c r="O426" s="282"/>
      <c r="P426" s="282"/>
      <c r="Q426" s="282"/>
      <c r="R426" s="282"/>
      <c r="S426" s="282"/>
      <c r="T426" s="282"/>
      <c r="U426" s="282"/>
      <c r="V426" s="282"/>
      <c r="W426" s="282"/>
      <c r="X426" s="282"/>
    </row>
    <row r="427" customFormat="false" ht="14.25" hidden="false" customHeight="false" outlineLevel="0" collapsed="false">
      <c r="A427" s="282"/>
      <c r="B427" s="282"/>
      <c r="C427" s="282"/>
      <c r="D427" s="282"/>
      <c r="E427" s="282"/>
      <c r="F427" s="282"/>
      <c r="G427" s="282"/>
      <c r="H427" s="282"/>
      <c r="I427" s="282"/>
      <c r="J427" s="282"/>
      <c r="K427" s="282"/>
      <c r="L427" s="282"/>
      <c r="M427" s="282"/>
      <c r="N427" s="282"/>
      <c r="O427" s="282"/>
      <c r="P427" s="282"/>
      <c r="Q427" s="282"/>
      <c r="R427" s="282"/>
      <c r="S427" s="282"/>
      <c r="T427" s="282"/>
      <c r="U427" s="282"/>
      <c r="V427" s="282"/>
      <c r="W427" s="282"/>
      <c r="X427" s="282"/>
    </row>
    <row r="428" customFormat="false" ht="14.25" hidden="false" customHeight="false" outlineLevel="0" collapsed="false">
      <c r="A428" s="282"/>
      <c r="B428" s="282"/>
      <c r="C428" s="282"/>
      <c r="D428" s="282"/>
      <c r="E428" s="282"/>
      <c r="F428" s="282"/>
      <c r="G428" s="282"/>
      <c r="H428" s="282"/>
      <c r="I428" s="282"/>
      <c r="J428" s="282"/>
      <c r="K428" s="282"/>
      <c r="L428" s="282"/>
      <c r="M428" s="282"/>
      <c r="N428" s="282"/>
      <c r="O428" s="282"/>
      <c r="P428" s="282"/>
      <c r="Q428" s="282"/>
      <c r="R428" s="282"/>
      <c r="S428" s="282"/>
      <c r="T428" s="282"/>
      <c r="U428" s="282"/>
      <c r="V428" s="282"/>
      <c r="W428" s="282"/>
      <c r="X428" s="282"/>
    </row>
    <row r="429" customFormat="false" ht="14.25" hidden="false" customHeight="false" outlineLevel="0" collapsed="false">
      <c r="A429" s="282"/>
      <c r="B429" s="282"/>
      <c r="C429" s="282"/>
      <c r="D429" s="282"/>
      <c r="E429" s="282"/>
      <c r="F429" s="282"/>
      <c r="G429" s="282"/>
      <c r="H429" s="282"/>
      <c r="I429" s="282"/>
      <c r="J429" s="282"/>
      <c r="K429" s="282"/>
      <c r="L429" s="282"/>
      <c r="M429" s="282"/>
      <c r="N429" s="282"/>
      <c r="O429" s="282"/>
      <c r="P429" s="282"/>
      <c r="Q429" s="282"/>
      <c r="R429" s="282"/>
      <c r="S429" s="282"/>
      <c r="T429" s="282"/>
      <c r="U429" s="282"/>
      <c r="V429" s="282"/>
      <c r="W429" s="282"/>
      <c r="X429" s="282"/>
    </row>
    <row r="430" customFormat="false" ht="14.25" hidden="false" customHeight="false" outlineLevel="0" collapsed="false">
      <c r="A430" s="282"/>
      <c r="B430" s="282"/>
      <c r="C430" s="282"/>
      <c r="D430" s="282"/>
      <c r="E430" s="282"/>
      <c r="F430" s="282"/>
      <c r="G430" s="282"/>
      <c r="H430" s="282"/>
      <c r="I430" s="282"/>
      <c r="J430" s="282"/>
      <c r="K430" s="282"/>
      <c r="L430" s="282"/>
      <c r="M430" s="282"/>
      <c r="N430" s="282"/>
      <c r="O430" s="282"/>
      <c r="P430" s="282"/>
      <c r="Q430" s="282"/>
      <c r="R430" s="282"/>
      <c r="S430" s="282"/>
      <c r="T430" s="282"/>
      <c r="U430" s="282"/>
      <c r="V430" s="282"/>
      <c r="W430" s="282"/>
      <c r="X430" s="282"/>
    </row>
    <row r="431" customFormat="false" ht="14.25" hidden="false" customHeight="false" outlineLevel="0" collapsed="false">
      <c r="A431" s="282"/>
      <c r="B431" s="282"/>
      <c r="C431" s="282"/>
      <c r="D431" s="282"/>
      <c r="E431" s="282"/>
      <c r="F431" s="282"/>
      <c r="G431" s="282"/>
      <c r="H431" s="282"/>
      <c r="I431" s="282"/>
      <c r="J431" s="282"/>
      <c r="K431" s="282"/>
      <c r="L431" s="282"/>
      <c r="M431" s="282"/>
      <c r="N431" s="282"/>
      <c r="O431" s="282"/>
      <c r="P431" s="282"/>
      <c r="Q431" s="282"/>
      <c r="R431" s="282"/>
      <c r="S431" s="282"/>
      <c r="T431" s="282"/>
      <c r="U431" s="282"/>
      <c r="V431" s="282"/>
      <c r="W431" s="282"/>
      <c r="X431" s="282"/>
    </row>
    <row r="432" customFormat="false" ht="14.25" hidden="false" customHeight="false" outlineLevel="0" collapsed="false">
      <c r="A432" s="282"/>
      <c r="B432" s="282"/>
      <c r="C432" s="282"/>
      <c r="D432" s="282"/>
      <c r="E432" s="282"/>
      <c r="F432" s="282"/>
      <c r="G432" s="282"/>
      <c r="H432" s="282"/>
      <c r="I432" s="282"/>
      <c r="J432" s="282"/>
      <c r="K432" s="282"/>
      <c r="L432" s="282"/>
      <c r="M432" s="282"/>
      <c r="N432" s="282"/>
      <c r="O432" s="282"/>
      <c r="P432" s="282"/>
      <c r="Q432" s="282"/>
      <c r="R432" s="282"/>
      <c r="S432" s="282"/>
      <c r="T432" s="282"/>
      <c r="U432" s="282"/>
      <c r="V432" s="282"/>
      <c r="W432" s="282"/>
      <c r="X432" s="282"/>
    </row>
    <row r="433" customFormat="false" ht="14.25" hidden="false" customHeight="false" outlineLevel="0" collapsed="false">
      <c r="A433" s="282"/>
      <c r="B433" s="282"/>
      <c r="C433" s="282"/>
      <c r="D433" s="282"/>
      <c r="E433" s="282"/>
      <c r="F433" s="282"/>
      <c r="G433" s="282"/>
      <c r="H433" s="282"/>
      <c r="I433" s="282"/>
      <c r="J433" s="282"/>
      <c r="K433" s="282"/>
      <c r="L433" s="282"/>
      <c r="M433" s="282"/>
      <c r="N433" s="282"/>
      <c r="O433" s="282"/>
      <c r="P433" s="282"/>
      <c r="Q433" s="282"/>
      <c r="R433" s="282"/>
      <c r="S433" s="282"/>
      <c r="T433" s="282"/>
      <c r="U433" s="282"/>
      <c r="V433" s="282"/>
      <c r="W433" s="282"/>
      <c r="X433" s="282"/>
    </row>
    <row r="434" customFormat="false" ht="14.25" hidden="false" customHeight="false" outlineLevel="0" collapsed="false">
      <c r="A434" s="282"/>
      <c r="B434" s="282"/>
      <c r="C434" s="282"/>
      <c r="D434" s="282"/>
      <c r="E434" s="282"/>
      <c r="F434" s="282"/>
      <c r="G434" s="282"/>
      <c r="H434" s="282"/>
      <c r="I434" s="282"/>
      <c r="J434" s="282"/>
      <c r="K434" s="282"/>
      <c r="L434" s="282"/>
      <c r="M434" s="282"/>
      <c r="N434" s="282"/>
      <c r="O434" s="282"/>
      <c r="P434" s="282"/>
      <c r="Q434" s="282"/>
      <c r="R434" s="282"/>
      <c r="S434" s="282"/>
      <c r="T434" s="282"/>
      <c r="U434" s="282"/>
      <c r="V434" s="282"/>
      <c r="W434" s="282"/>
      <c r="X434" s="282"/>
    </row>
    <row r="435" customFormat="false" ht="14.25" hidden="false" customHeight="false" outlineLevel="0" collapsed="false">
      <c r="A435" s="282"/>
      <c r="B435" s="282"/>
      <c r="C435" s="282"/>
      <c r="D435" s="282"/>
      <c r="E435" s="282"/>
      <c r="F435" s="282"/>
      <c r="G435" s="282"/>
      <c r="H435" s="282"/>
      <c r="I435" s="282"/>
      <c r="J435" s="282"/>
      <c r="K435" s="282"/>
      <c r="L435" s="282"/>
      <c r="M435" s="282"/>
      <c r="N435" s="282"/>
      <c r="O435" s="282"/>
      <c r="P435" s="282"/>
      <c r="Q435" s="282"/>
      <c r="R435" s="282"/>
      <c r="S435" s="282"/>
      <c r="T435" s="282"/>
      <c r="U435" s="282"/>
      <c r="V435" s="282"/>
      <c r="W435" s="282"/>
      <c r="X435" s="282"/>
    </row>
    <row r="436" customFormat="false" ht="14.25" hidden="false" customHeight="false" outlineLevel="0" collapsed="false">
      <c r="A436" s="282"/>
      <c r="B436" s="282"/>
      <c r="C436" s="282"/>
      <c r="D436" s="282"/>
      <c r="E436" s="282"/>
      <c r="F436" s="282"/>
      <c r="G436" s="282"/>
      <c r="H436" s="282"/>
      <c r="I436" s="282"/>
      <c r="J436" s="282"/>
      <c r="K436" s="282"/>
      <c r="L436" s="282"/>
      <c r="M436" s="282"/>
      <c r="N436" s="282"/>
      <c r="O436" s="282"/>
      <c r="P436" s="282"/>
      <c r="Q436" s="282"/>
      <c r="R436" s="282"/>
      <c r="S436" s="282"/>
      <c r="T436" s="282"/>
      <c r="U436" s="282"/>
      <c r="V436" s="282"/>
      <c r="W436" s="282"/>
      <c r="X436" s="282"/>
    </row>
    <row r="437" customFormat="false" ht="14.25" hidden="false" customHeight="false" outlineLevel="0" collapsed="false">
      <c r="A437" s="282"/>
      <c r="B437" s="282"/>
      <c r="C437" s="282"/>
      <c r="D437" s="282"/>
      <c r="E437" s="282"/>
      <c r="F437" s="282"/>
      <c r="G437" s="282"/>
      <c r="H437" s="282"/>
      <c r="I437" s="282"/>
      <c r="J437" s="282"/>
      <c r="K437" s="282"/>
      <c r="L437" s="282"/>
      <c r="M437" s="282"/>
      <c r="N437" s="282"/>
      <c r="O437" s="282"/>
      <c r="P437" s="282"/>
      <c r="Q437" s="282"/>
      <c r="R437" s="282"/>
      <c r="S437" s="282"/>
      <c r="T437" s="282"/>
      <c r="U437" s="282"/>
      <c r="V437" s="282"/>
      <c r="W437" s="282"/>
      <c r="X437" s="282"/>
    </row>
    <row r="438" customFormat="false" ht="14.25" hidden="false" customHeight="false" outlineLevel="0" collapsed="false">
      <c r="A438" s="282"/>
      <c r="B438" s="282"/>
      <c r="C438" s="282"/>
      <c r="D438" s="282"/>
      <c r="E438" s="282"/>
      <c r="F438" s="282"/>
      <c r="G438" s="282"/>
      <c r="H438" s="282"/>
      <c r="I438" s="282"/>
      <c r="J438" s="282"/>
      <c r="K438" s="282"/>
      <c r="L438" s="282"/>
      <c r="M438" s="282"/>
      <c r="N438" s="282"/>
      <c r="O438" s="282"/>
      <c r="P438" s="282"/>
      <c r="Q438" s="282"/>
      <c r="R438" s="282"/>
      <c r="S438" s="282"/>
      <c r="T438" s="282"/>
      <c r="U438" s="282"/>
      <c r="V438" s="282"/>
      <c r="W438" s="282"/>
      <c r="X438" s="282"/>
    </row>
    <row r="439" customFormat="false" ht="14.25" hidden="false" customHeight="false" outlineLevel="0" collapsed="false">
      <c r="A439" s="282"/>
      <c r="B439" s="282"/>
      <c r="C439" s="282"/>
      <c r="D439" s="282"/>
      <c r="E439" s="282"/>
      <c r="F439" s="282"/>
      <c r="G439" s="282"/>
      <c r="H439" s="282"/>
      <c r="I439" s="282"/>
      <c r="J439" s="282"/>
      <c r="K439" s="282"/>
      <c r="L439" s="282"/>
      <c r="M439" s="282"/>
      <c r="N439" s="282"/>
      <c r="O439" s="282"/>
      <c r="P439" s="282"/>
      <c r="Q439" s="282"/>
      <c r="R439" s="282"/>
      <c r="S439" s="282"/>
      <c r="T439" s="282"/>
      <c r="U439" s="282"/>
      <c r="V439" s="282"/>
      <c r="W439" s="282"/>
      <c r="X439" s="282"/>
    </row>
    <row r="440" customFormat="false" ht="14.25" hidden="false" customHeight="false" outlineLevel="0" collapsed="false">
      <c r="A440" s="282"/>
      <c r="B440" s="282"/>
      <c r="C440" s="282"/>
      <c r="D440" s="282"/>
      <c r="E440" s="282"/>
      <c r="F440" s="282"/>
      <c r="G440" s="282"/>
      <c r="H440" s="282"/>
      <c r="I440" s="282"/>
      <c r="J440" s="282"/>
      <c r="K440" s="282"/>
      <c r="L440" s="282"/>
      <c r="M440" s="282"/>
      <c r="N440" s="282"/>
      <c r="O440" s="282"/>
      <c r="P440" s="282"/>
      <c r="Q440" s="282"/>
      <c r="R440" s="282"/>
      <c r="S440" s="282"/>
      <c r="T440" s="282"/>
      <c r="U440" s="282"/>
      <c r="V440" s="282"/>
      <c r="W440" s="282"/>
      <c r="X440" s="282"/>
    </row>
    <row r="441" customFormat="false" ht="14.25" hidden="false" customHeight="false" outlineLevel="0" collapsed="false">
      <c r="A441" s="282"/>
      <c r="B441" s="282"/>
      <c r="C441" s="282"/>
      <c r="D441" s="282"/>
      <c r="E441" s="282"/>
      <c r="F441" s="282"/>
      <c r="G441" s="282"/>
      <c r="H441" s="282"/>
      <c r="I441" s="282"/>
      <c r="J441" s="282"/>
      <c r="K441" s="282"/>
      <c r="L441" s="282"/>
      <c r="M441" s="282"/>
      <c r="N441" s="282"/>
      <c r="O441" s="282"/>
      <c r="P441" s="282"/>
      <c r="Q441" s="282"/>
      <c r="R441" s="282"/>
      <c r="S441" s="282"/>
      <c r="T441" s="282"/>
      <c r="U441" s="282"/>
      <c r="V441" s="282"/>
      <c r="W441" s="282"/>
      <c r="X441" s="282"/>
    </row>
    <row r="442" customFormat="false" ht="14.25" hidden="false" customHeight="false" outlineLevel="0" collapsed="false">
      <c r="A442" s="282"/>
      <c r="B442" s="282"/>
      <c r="C442" s="282"/>
      <c r="D442" s="282"/>
      <c r="E442" s="282"/>
      <c r="F442" s="282"/>
      <c r="G442" s="282"/>
      <c r="H442" s="282"/>
      <c r="I442" s="282"/>
      <c r="J442" s="282"/>
      <c r="K442" s="282"/>
      <c r="L442" s="282"/>
      <c r="M442" s="282"/>
      <c r="N442" s="282"/>
      <c r="O442" s="282"/>
      <c r="P442" s="282"/>
      <c r="Q442" s="282"/>
      <c r="R442" s="282"/>
      <c r="S442" s="282"/>
      <c r="T442" s="282"/>
      <c r="U442" s="282"/>
      <c r="V442" s="282"/>
      <c r="W442" s="282"/>
      <c r="X442" s="282"/>
    </row>
    <row r="443" customFormat="false" ht="14.25" hidden="false" customHeight="false" outlineLevel="0" collapsed="false">
      <c r="A443" s="282"/>
      <c r="B443" s="282"/>
      <c r="C443" s="282"/>
      <c r="D443" s="282"/>
      <c r="E443" s="282"/>
      <c r="F443" s="282"/>
      <c r="G443" s="282"/>
      <c r="H443" s="282"/>
      <c r="I443" s="282"/>
      <c r="J443" s="282"/>
      <c r="K443" s="282"/>
      <c r="L443" s="282"/>
      <c r="M443" s="282"/>
      <c r="N443" s="282"/>
      <c r="O443" s="282"/>
      <c r="P443" s="282"/>
      <c r="Q443" s="282"/>
      <c r="R443" s="282"/>
      <c r="S443" s="282"/>
      <c r="T443" s="282"/>
      <c r="U443" s="282"/>
      <c r="V443" s="282"/>
      <c r="W443" s="282"/>
      <c r="X443" s="282"/>
    </row>
    <row r="444" customFormat="false" ht="14.25" hidden="false" customHeight="false" outlineLevel="0" collapsed="false">
      <c r="A444" s="282"/>
      <c r="B444" s="282"/>
      <c r="C444" s="282"/>
      <c r="D444" s="282"/>
      <c r="E444" s="282"/>
      <c r="F444" s="282"/>
      <c r="G444" s="282"/>
      <c r="H444" s="282"/>
      <c r="I444" s="282"/>
      <c r="J444" s="282"/>
      <c r="K444" s="282"/>
      <c r="L444" s="282"/>
      <c r="M444" s="282"/>
      <c r="N444" s="282"/>
      <c r="O444" s="282"/>
      <c r="P444" s="282"/>
      <c r="Q444" s="282"/>
      <c r="R444" s="282"/>
      <c r="S444" s="282"/>
      <c r="T444" s="282"/>
      <c r="U444" s="282"/>
      <c r="V444" s="282"/>
      <c r="W444" s="282"/>
      <c r="X444" s="282"/>
    </row>
    <row r="445" customFormat="false" ht="14.25" hidden="false" customHeight="false" outlineLevel="0" collapsed="false">
      <c r="A445" s="282"/>
      <c r="B445" s="282"/>
      <c r="C445" s="282"/>
      <c r="D445" s="282"/>
      <c r="E445" s="282"/>
      <c r="F445" s="282"/>
      <c r="G445" s="282"/>
      <c r="H445" s="282"/>
      <c r="I445" s="282"/>
      <c r="J445" s="282"/>
      <c r="K445" s="282"/>
      <c r="L445" s="282"/>
      <c r="M445" s="282"/>
      <c r="N445" s="282"/>
      <c r="O445" s="282"/>
      <c r="P445" s="282"/>
      <c r="Q445" s="282"/>
      <c r="R445" s="282"/>
      <c r="S445" s="282"/>
      <c r="T445" s="282"/>
      <c r="U445" s="282"/>
      <c r="V445" s="282"/>
      <c r="W445" s="282"/>
      <c r="X445" s="282"/>
    </row>
    <row r="446" customFormat="false" ht="14.25" hidden="false" customHeight="false" outlineLevel="0" collapsed="false">
      <c r="A446" s="282"/>
      <c r="B446" s="282"/>
      <c r="C446" s="282"/>
      <c r="D446" s="282"/>
      <c r="E446" s="282"/>
      <c r="F446" s="282"/>
      <c r="G446" s="282"/>
      <c r="H446" s="282"/>
      <c r="I446" s="282"/>
      <c r="J446" s="282"/>
      <c r="K446" s="282"/>
      <c r="L446" s="282"/>
      <c r="M446" s="282"/>
      <c r="N446" s="282"/>
      <c r="O446" s="282"/>
      <c r="P446" s="282"/>
      <c r="Q446" s="282"/>
      <c r="R446" s="282"/>
      <c r="S446" s="282"/>
      <c r="T446" s="282"/>
      <c r="U446" s="282"/>
      <c r="V446" s="282"/>
      <c r="W446" s="282"/>
      <c r="X446" s="282"/>
    </row>
    <row r="447" customFormat="false" ht="14.25" hidden="false" customHeight="false" outlineLevel="0" collapsed="false">
      <c r="A447" s="282"/>
      <c r="B447" s="282"/>
      <c r="C447" s="282"/>
      <c r="D447" s="282"/>
      <c r="E447" s="282"/>
      <c r="F447" s="282"/>
      <c r="G447" s="282"/>
      <c r="H447" s="282"/>
      <c r="I447" s="282"/>
      <c r="J447" s="282"/>
      <c r="K447" s="282"/>
      <c r="L447" s="282"/>
      <c r="M447" s="282"/>
      <c r="N447" s="282"/>
      <c r="O447" s="282"/>
      <c r="P447" s="282"/>
      <c r="Q447" s="282"/>
      <c r="R447" s="282"/>
      <c r="S447" s="282"/>
      <c r="T447" s="282"/>
      <c r="U447" s="282"/>
      <c r="V447" s="282"/>
      <c r="W447" s="282"/>
      <c r="X447" s="282"/>
    </row>
    <row r="448" customFormat="false" ht="14.25" hidden="false" customHeight="false" outlineLevel="0" collapsed="false">
      <c r="A448" s="282"/>
      <c r="B448" s="282"/>
      <c r="C448" s="282"/>
      <c r="D448" s="282"/>
      <c r="E448" s="282"/>
      <c r="F448" s="282"/>
      <c r="G448" s="282"/>
      <c r="H448" s="282"/>
      <c r="I448" s="282"/>
      <c r="J448" s="282"/>
      <c r="K448" s="282"/>
      <c r="L448" s="282"/>
      <c r="M448" s="282"/>
      <c r="N448" s="282"/>
      <c r="O448" s="282"/>
      <c r="P448" s="282"/>
      <c r="Q448" s="282"/>
      <c r="R448" s="282"/>
      <c r="S448" s="282"/>
      <c r="T448" s="282"/>
      <c r="U448" s="282"/>
      <c r="V448" s="282"/>
      <c r="W448" s="282"/>
      <c r="X448" s="282"/>
    </row>
    <row r="449" customFormat="false" ht="14.25" hidden="false" customHeight="false" outlineLevel="0" collapsed="false">
      <c r="A449" s="282"/>
      <c r="B449" s="282"/>
      <c r="C449" s="282"/>
      <c r="D449" s="282"/>
      <c r="E449" s="282"/>
      <c r="F449" s="282"/>
      <c r="G449" s="282"/>
      <c r="H449" s="282"/>
      <c r="I449" s="282"/>
      <c r="J449" s="282"/>
      <c r="K449" s="282"/>
      <c r="L449" s="282"/>
      <c r="M449" s="282"/>
      <c r="N449" s="282"/>
      <c r="O449" s="282"/>
      <c r="P449" s="282"/>
      <c r="Q449" s="282"/>
      <c r="R449" s="282"/>
      <c r="S449" s="282"/>
      <c r="T449" s="282"/>
      <c r="U449" s="282"/>
      <c r="V449" s="282"/>
      <c r="W449" s="282"/>
      <c r="X449" s="282"/>
    </row>
    <row r="450" customFormat="false" ht="14.25" hidden="false" customHeight="false" outlineLevel="0" collapsed="false">
      <c r="A450" s="282"/>
      <c r="B450" s="282"/>
      <c r="C450" s="282"/>
      <c r="D450" s="282"/>
      <c r="E450" s="282"/>
      <c r="F450" s="282"/>
      <c r="G450" s="282"/>
      <c r="H450" s="282"/>
      <c r="I450" s="282"/>
      <c r="J450" s="282"/>
      <c r="K450" s="282"/>
      <c r="L450" s="282"/>
      <c r="M450" s="282"/>
      <c r="N450" s="282"/>
      <c r="O450" s="282"/>
      <c r="P450" s="282"/>
      <c r="Q450" s="282"/>
      <c r="R450" s="282"/>
      <c r="S450" s="282"/>
      <c r="T450" s="282"/>
      <c r="U450" s="282"/>
      <c r="V450" s="282"/>
      <c r="W450" s="282"/>
      <c r="X450" s="282"/>
    </row>
    <row r="451" customFormat="false" ht="14.25" hidden="false" customHeight="false" outlineLevel="0" collapsed="false">
      <c r="A451" s="282"/>
      <c r="B451" s="282"/>
      <c r="C451" s="282"/>
      <c r="D451" s="282"/>
      <c r="E451" s="282"/>
      <c r="F451" s="282"/>
      <c r="G451" s="282"/>
      <c r="H451" s="282"/>
      <c r="I451" s="282"/>
      <c r="J451" s="282"/>
      <c r="K451" s="282"/>
      <c r="L451" s="282"/>
      <c r="M451" s="282"/>
      <c r="N451" s="282"/>
      <c r="O451" s="282"/>
      <c r="P451" s="282"/>
      <c r="Q451" s="282"/>
      <c r="R451" s="282"/>
      <c r="S451" s="282"/>
      <c r="T451" s="282"/>
      <c r="U451" s="282"/>
      <c r="V451" s="282"/>
      <c r="W451" s="282"/>
      <c r="X451" s="282"/>
    </row>
    <row r="452" customFormat="false" ht="14.25" hidden="false" customHeight="false" outlineLevel="0" collapsed="false">
      <c r="A452" s="282"/>
      <c r="B452" s="282"/>
      <c r="C452" s="282"/>
      <c r="D452" s="282"/>
      <c r="E452" s="282"/>
      <c r="F452" s="282"/>
      <c r="G452" s="282"/>
      <c r="H452" s="282"/>
      <c r="I452" s="282"/>
      <c r="J452" s="282"/>
      <c r="K452" s="282"/>
      <c r="L452" s="282"/>
      <c r="M452" s="282"/>
      <c r="N452" s="282"/>
      <c r="O452" s="282"/>
      <c r="P452" s="282"/>
      <c r="Q452" s="282"/>
      <c r="R452" s="282"/>
      <c r="S452" s="282"/>
      <c r="T452" s="282"/>
      <c r="U452" s="282"/>
      <c r="V452" s="282"/>
      <c r="W452" s="282"/>
      <c r="X452" s="282"/>
    </row>
    <row r="453" customFormat="false" ht="14.25" hidden="false" customHeight="false" outlineLevel="0" collapsed="false">
      <c r="A453" s="282"/>
      <c r="B453" s="282"/>
      <c r="C453" s="282"/>
      <c r="D453" s="282"/>
      <c r="E453" s="282"/>
      <c r="F453" s="282"/>
      <c r="G453" s="282"/>
      <c r="H453" s="282"/>
      <c r="I453" s="282"/>
      <c r="J453" s="282"/>
      <c r="K453" s="282"/>
      <c r="L453" s="282"/>
      <c r="M453" s="282"/>
      <c r="N453" s="282"/>
      <c r="O453" s="282"/>
      <c r="P453" s="282"/>
      <c r="Q453" s="282"/>
      <c r="R453" s="282"/>
      <c r="S453" s="282"/>
      <c r="T453" s="282"/>
      <c r="U453" s="282"/>
      <c r="V453" s="282"/>
      <c r="W453" s="282"/>
      <c r="X453" s="282"/>
    </row>
    <row r="454" customFormat="false" ht="14.25" hidden="false" customHeight="false" outlineLevel="0" collapsed="false">
      <c r="A454" s="282"/>
      <c r="B454" s="282"/>
      <c r="C454" s="282"/>
      <c r="D454" s="282"/>
      <c r="E454" s="282"/>
      <c r="F454" s="282"/>
      <c r="G454" s="282"/>
      <c r="H454" s="282"/>
      <c r="I454" s="282"/>
      <c r="J454" s="282"/>
      <c r="K454" s="282"/>
      <c r="L454" s="282"/>
      <c r="M454" s="282"/>
      <c r="N454" s="282"/>
      <c r="O454" s="282"/>
      <c r="P454" s="282"/>
      <c r="Q454" s="282"/>
      <c r="R454" s="282"/>
      <c r="S454" s="282"/>
      <c r="T454" s="282"/>
      <c r="U454" s="282"/>
      <c r="V454" s="282"/>
      <c r="W454" s="282"/>
      <c r="X454" s="282"/>
    </row>
    <row r="455" customFormat="false" ht="14.25" hidden="false" customHeight="false" outlineLevel="0" collapsed="false">
      <c r="A455" s="282"/>
      <c r="B455" s="282"/>
      <c r="C455" s="282"/>
      <c r="D455" s="282"/>
      <c r="E455" s="282"/>
      <c r="F455" s="282"/>
      <c r="G455" s="282"/>
      <c r="H455" s="282"/>
      <c r="I455" s="282"/>
      <c r="J455" s="282"/>
      <c r="K455" s="282"/>
      <c r="L455" s="282"/>
      <c r="M455" s="282"/>
      <c r="N455" s="282"/>
      <c r="O455" s="282"/>
      <c r="P455" s="282"/>
      <c r="Q455" s="282"/>
      <c r="R455" s="282"/>
      <c r="S455" s="282"/>
      <c r="T455" s="282"/>
      <c r="U455" s="282"/>
      <c r="V455" s="282"/>
      <c r="W455" s="282"/>
      <c r="X455" s="282"/>
    </row>
    <row r="456" customFormat="false" ht="14.25" hidden="false" customHeight="false" outlineLevel="0" collapsed="false">
      <c r="A456" s="282"/>
      <c r="B456" s="282"/>
      <c r="C456" s="282"/>
      <c r="D456" s="282"/>
      <c r="E456" s="282"/>
      <c r="F456" s="282"/>
      <c r="G456" s="282"/>
      <c r="H456" s="282"/>
      <c r="I456" s="282"/>
      <c r="J456" s="282"/>
      <c r="K456" s="282"/>
      <c r="L456" s="282"/>
      <c r="M456" s="282"/>
      <c r="N456" s="282"/>
      <c r="O456" s="282"/>
      <c r="P456" s="282"/>
      <c r="Q456" s="282"/>
      <c r="R456" s="282"/>
      <c r="S456" s="282"/>
      <c r="T456" s="282"/>
      <c r="U456" s="282"/>
      <c r="V456" s="282"/>
      <c r="W456" s="282"/>
      <c r="X456" s="282"/>
    </row>
    <row r="457" customFormat="false" ht="14.25" hidden="false" customHeight="false" outlineLevel="0" collapsed="false">
      <c r="A457" s="282"/>
      <c r="B457" s="282"/>
      <c r="C457" s="282"/>
      <c r="D457" s="282"/>
      <c r="E457" s="282"/>
      <c r="F457" s="282"/>
      <c r="G457" s="282"/>
      <c r="H457" s="282"/>
      <c r="I457" s="282"/>
      <c r="J457" s="282"/>
      <c r="K457" s="282"/>
      <c r="L457" s="282"/>
      <c r="M457" s="282"/>
      <c r="N457" s="282"/>
      <c r="O457" s="282"/>
      <c r="P457" s="282"/>
      <c r="Q457" s="282"/>
      <c r="R457" s="282"/>
      <c r="S457" s="282"/>
      <c r="T457" s="282"/>
      <c r="U457" s="282"/>
      <c r="V457" s="282"/>
      <c r="W457" s="282"/>
      <c r="X457" s="282"/>
    </row>
    <row r="458" customFormat="false" ht="14.25" hidden="false" customHeight="false" outlineLevel="0" collapsed="false">
      <c r="A458" s="282"/>
      <c r="B458" s="282"/>
      <c r="C458" s="282"/>
      <c r="D458" s="282"/>
      <c r="E458" s="282"/>
      <c r="F458" s="282"/>
      <c r="G458" s="282"/>
      <c r="H458" s="282"/>
      <c r="I458" s="282"/>
      <c r="J458" s="282"/>
      <c r="K458" s="282"/>
      <c r="L458" s="282"/>
      <c r="M458" s="282"/>
      <c r="N458" s="282"/>
      <c r="O458" s="282"/>
      <c r="P458" s="282"/>
      <c r="Q458" s="282"/>
      <c r="R458" s="282"/>
      <c r="S458" s="282"/>
      <c r="T458" s="282"/>
      <c r="U458" s="282"/>
      <c r="V458" s="282"/>
      <c r="W458" s="282"/>
      <c r="X458" s="282"/>
    </row>
    <row r="459" customFormat="false" ht="14.25" hidden="false" customHeight="false" outlineLevel="0" collapsed="false">
      <c r="A459" s="282"/>
      <c r="B459" s="282"/>
      <c r="C459" s="282"/>
      <c r="D459" s="282"/>
      <c r="E459" s="282"/>
      <c r="F459" s="282"/>
      <c r="G459" s="282"/>
      <c r="H459" s="282"/>
      <c r="I459" s="282"/>
      <c r="J459" s="282"/>
      <c r="K459" s="282"/>
      <c r="L459" s="282"/>
      <c r="M459" s="282"/>
      <c r="N459" s="282"/>
      <c r="O459" s="282"/>
      <c r="P459" s="282"/>
      <c r="Q459" s="282"/>
      <c r="R459" s="282"/>
      <c r="S459" s="282"/>
      <c r="T459" s="282"/>
      <c r="U459" s="282"/>
      <c r="V459" s="282"/>
      <c r="W459" s="282"/>
      <c r="X459" s="282"/>
    </row>
    <row r="460" customFormat="false" ht="14.25" hidden="false" customHeight="false" outlineLevel="0" collapsed="false">
      <c r="A460" s="282"/>
      <c r="B460" s="282"/>
      <c r="C460" s="282"/>
      <c r="D460" s="282"/>
      <c r="E460" s="282"/>
      <c r="F460" s="282"/>
      <c r="G460" s="282"/>
      <c r="H460" s="282"/>
      <c r="I460" s="282"/>
      <c r="J460" s="282"/>
      <c r="K460" s="282"/>
      <c r="L460" s="282"/>
      <c r="M460" s="282"/>
      <c r="N460" s="282"/>
      <c r="O460" s="282"/>
      <c r="P460" s="282"/>
      <c r="Q460" s="282"/>
      <c r="R460" s="282"/>
      <c r="S460" s="282"/>
      <c r="T460" s="282"/>
      <c r="U460" s="282"/>
      <c r="V460" s="282"/>
      <c r="W460" s="282"/>
      <c r="X460" s="282"/>
    </row>
    <row r="461" customFormat="false" ht="14.25" hidden="false" customHeight="false" outlineLevel="0" collapsed="false">
      <c r="A461" s="282"/>
      <c r="B461" s="282"/>
      <c r="C461" s="282"/>
      <c r="D461" s="282"/>
      <c r="E461" s="282"/>
      <c r="F461" s="282"/>
      <c r="G461" s="282"/>
      <c r="H461" s="282"/>
      <c r="I461" s="282"/>
      <c r="J461" s="282"/>
      <c r="K461" s="282"/>
      <c r="L461" s="282"/>
      <c r="M461" s="282"/>
      <c r="N461" s="282"/>
      <c r="O461" s="282"/>
      <c r="P461" s="282"/>
      <c r="Q461" s="282"/>
      <c r="R461" s="282"/>
      <c r="S461" s="282"/>
      <c r="T461" s="282"/>
      <c r="U461" s="282"/>
      <c r="V461" s="282"/>
      <c r="W461" s="282"/>
      <c r="X461" s="282"/>
    </row>
    <row r="462" customFormat="false" ht="14.25" hidden="false" customHeight="false" outlineLevel="0" collapsed="false">
      <c r="A462" s="282"/>
      <c r="B462" s="282"/>
      <c r="C462" s="282"/>
      <c r="D462" s="282"/>
      <c r="E462" s="282"/>
      <c r="F462" s="282"/>
      <c r="G462" s="282"/>
      <c r="H462" s="282"/>
      <c r="I462" s="282"/>
      <c r="J462" s="282"/>
      <c r="K462" s="282"/>
      <c r="L462" s="282"/>
      <c r="M462" s="282"/>
      <c r="N462" s="282"/>
      <c r="O462" s="282"/>
      <c r="P462" s="282"/>
      <c r="Q462" s="282"/>
      <c r="R462" s="282"/>
      <c r="S462" s="282"/>
      <c r="T462" s="282"/>
      <c r="U462" s="282"/>
      <c r="V462" s="282"/>
      <c r="W462" s="282"/>
      <c r="X462" s="282"/>
    </row>
    <row r="463" customFormat="false" ht="14.25" hidden="false" customHeight="false" outlineLevel="0" collapsed="false">
      <c r="A463" s="282"/>
      <c r="B463" s="282"/>
      <c r="C463" s="282"/>
      <c r="D463" s="282"/>
      <c r="E463" s="282"/>
      <c r="F463" s="282"/>
      <c r="G463" s="282"/>
      <c r="H463" s="282"/>
      <c r="I463" s="282"/>
      <c r="J463" s="282"/>
      <c r="K463" s="282"/>
      <c r="L463" s="282"/>
      <c r="M463" s="282"/>
      <c r="N463" s="282"/>
      <c r="O463" s="282"/>
      <c r="P463" s="282"/>
      <c r="Q463" s="282"/>
      <c r="R463" s="282"/>
      <c r="S463" s="282"/>
      <c r="T463" s="282"/>
      <c r="U463" s="282"/>
      <c r="V463" s="282"/>
      <c r="W463" s="282"/>
      <c r="X463" s="282"/>
    </row>
    <row r="464" customFormat="false" ht="14.25" hidden="false" customHeight="false" outlineLevel="0" collapsed="false">
      <c r="A464" s="282"/>
      <c r="B464" s="282"/>
      <c r="C464" s="282"/>
      <c r="D464" s="282"/>
      <c r="E464" s="282"/>
      <c r="F464" s="282"/>
      <c r="G464" s="282"/>
      <c r="H464" s="282"/>
      <c r="I464" s="282"/>
      <c r="J464" s="282"/>
      <c r="K464" s="282"/>
      <c r="L464" s="282"/>
      <c r="M464" s="282"/>
      <c r="N464" s="282"/>
      <c r="O464" s="282"/>
      <c r="P464" s="282"/>
      <c r="Q464" s="282"/>
      <c r="R464" s="282"/>
      <c r="S464" s="282"/>
      <c r="T464" s="282"/>
      <c r="U464" s="282"/>
      <c r="V464" s="282"/>
      <c r="W464" s="282"/>
      <c r="X464" s="282"/>
    </row>
    <row r="465" customFormat="false" ht="14.25" hidden="false" customHeight="false" outlineLevel="0" collapsed="false">
      <c r="A465" s="282"/>
      <c r="B465" s="282"/>
      <c r="C465" s="282"/>
      <c r="D465" s="282"/>
      <c r="E465" s="282"/>
      <c r="F465" s="282"/>
      <c r="G465" s="282"/>
      <c r="H465" s="282"/>
      <c r="I465" s="282"/>
      <c r="J465" s="282"/>
      <c r="K465" s="282"/>
      <c r="L465" s="282"/>
      <c r="M465" s="282"/>
      <c r="N465" s="282"/>
      <c r="O465" s="282"/>
      <c r="P465" s="282"/>
      <c r="Q465" s="282"/>
      <c r="R465" s="282"/>
      <c r="S465" s="282"/>
      <c r="T465" s="282"/>
      <c r="U465" s="282"/>
      <c r="V465" s="282"/>
      <c r="W465" s="282"/>
      <c r="X465" s="282"/>
    </row>
    <row r="466" customFormat="false" ht="14.25" hidden="false" customHeight="false" outlineLevel="0" collapsed="false">
      <c r="A466" s="282"/>
      <c r="B466" s="282"/>
      <c r="C466" s="282"/>
      <c r="D466" s="282"/>
      <c r="E466" s="282"/>
      <c r="F466" s="282"/>
      <c r="G466" s="282"/>
      <c r="H466" s="282"/>
      <c r="I466" s="282"/>
      <c r="J466" s="282"/>
      <c r="K466" s="282"/>
      <c r="L466" s="282"/>
      <c r="M466" s="282"/>
      <c r="N466" s="282"/>
      <c r="O466" s="282"/>
      <c r="P466" s="282"/>
      <c r="Q466" s="282"/>
      <c r="R466" s="282"/>
      <c r="S466" s="282"/>
      <c r="T466" s="282"/>
      <c r="U466" s="282"/>
      <c r="V466" s="282"/>
      <c r="W466" s="282"/>
      <c r="X466" s="282"/>
    </row>
    <row r="467" customFormat="false" ht="14.25" hidden="false" customHeight="false" outlineLevel="0" collapsed="false">
      <c r="A467" s="282"/>
      <c r="B467" s="282"/>
      <c r="C467" s="282"/>
      <c r="D467" s="282"/>
      <c r="E467" s="282"/>
      <c r="F467" s="282"/>
      <c r="G467" s="282"/>
      <c r="H467" s="282"/>
      <c r="I467" s="282"/>
      <c r="J467" s="282"/>
      <c r="K467" s="282"/>
      <c r="L467" s="282"/>
      <c r="M467" s="282"/>
      <c r="N467" s="282"/>
      <c r="O467" s="282"/>
      <c r="P467" s="282"/>
      <c r="Q467" s="282"/>
      <c r="R467" s="282"/>
      <c r="S467" s="282"/>
      <c r="T467" s="282"/>
      <c r="U467" s="282"/>
      <c r="V467" s="282"/>
      <c r="W467" s="282"/>
      <c r="X467" s="282"/>
    </row>
    <row r="468" customFormat="false" ht="14.25" hidden="false" customHeight="false" outlineLevel="0" collapsed="false">
      <c r="A468" s="282"/>
      <c r="B468" s="282"/>
      <c r="C468" s="282"/>
      <c r="D468" s="282"/>
      <c r="E468" s="282"/>
      <c r="F468" s="282"/>
      <c r="G468" s="282"/>
      <c r="H468" s="282"/>
      <c r="I468" s="282"/>
      <c r="J468" s="282"/>
      <c r="K468" s="282"/>
      <c r="L468" s="282"/>
      <c r="M468" s="282"/>
      <c r="N468" s="282"/>
      <c r="O468" s="282"/>
      <c r="P468" s="282"/>
      <c r="Q468" s="282"/>
      <c r="R468" s="282"/>
      <c r="S468" s="282"/>
      <c r="T468" s="282"/>
      <c r="U468" s="282"/>
      <c r="V468" s="282"/>
      <c r="W468" s="282"/>
      <c r="X468" s="282"/>
    </row>
    <row r="469" customFormat="false" ht="14.25" hidden="false" customHeight="false" outlineLevel="0" collapsed="false">
      <c r="A469" s="282"/>
      <c r="B469" s="282"/>
      <c r="C469" s="282"/>
      <c r="D469" s="282"/>
      <c r="E469" s="282"/>
      <c r="F469" s="282"/>
      <c r="G469" s="282"/>
      <c r="H469" s="282"/>
      <c r="I469" s="282"/>
      <c r="J469" s="282"/>
      <c r="K469" s="282"/>
      <c r="L469" s="282"/>
      <c r="M469" s="282"/>
      <c r="N469" s="282"/>
      <c r="O469" s="282"/>
      <c r="P469" s="282"/>
      <c r="Q469" s="282"/>
      <c r="R469" s="282"/>
      <c r="S469" s="282"/>
      <c r="T469" s="282"/>
      <c r="U469" s="282"/>
      <c r="V469" s="282"/>
      <c r="W469" s="282"/>
      <c r="X469" s="282"/>
    </row>
    <row r="470" customFormat="false" ht="14.25" hidden="false" customHeight="false" outlineLevel="0" collapsed="false">
      <c r="A470" s="282"/>
      <c r="B470" s="282"/>
      <c r="C470" s="282"/>
      <c r="D470" s="282"/>
      <c r="E470" s="282"/>
      <c r="F470" s="282"/>
      <c r="G470" s="282"/>
      <c r="H470" s="282"/>
      <c r="I470" s="282"/>
      <c r="J470" s="282"/>
      <c r="K470" s="282"/>
      <c r="L470" s="282"/>
      <c r="M470" s="282"/>
      <c r="N470" s="282"/>
      <c r="O470" s="282"/>
      <c r="P470" s="282"/>
      <c r="Q470" s="282"/>
      <c r="R470" s="282"/>
      <c r="S470" s="282"/>
      <c r="T470" s="282"/>
      <c r="U470" s="282"/>
      <c r="V470" s="282"/>
      <c r="W470" s="282"/>
      <c r="X470" s="282"/>
    </row>
    <row r="471" customFormat="false" ht="14.25" hidden="false" customHeight="false" outlineLevel="0" collapsed="false">
      <c r="A471" s="282"/>
      <c r="B471" s="282"/>
      <c r="C471" s="282"/>
      <c r="D471" s="282"/>
      <c r="E471" s="282"/>
      <c r="F471" s="282"/>
      <c r="G471" s="282"/>
      <c r="H471" s="282"/>
      <c r="I471" s="282"/>
      <c r="J471" s="282"/>
      <c r="K471" s="282"/>
      <c r="L471" s="282"/>
      <c r="M471" s="282"/>
      <c r="N471" s="282"/>
      <c r="O471" s="282"/>
      <c r="P471" s="282"/>
      <c r="Q471" s="282"/>
      <c r="R471" s="282"/>
      <c r="S471" s="282"/>
      <c r="T471" s="282"/>
      <c r="U471" s="282"/>
      <c r="V471" s="282"/>
      <c r="W471" s="282"/>
      <c r="X471" s="282"/>
    </row>
    <row r="472" customFormat="false" ht="14.25" hidden="false" customHeight="false" outlineLevel="0" collapsed="false">
      <c r="A472" s="282"/>
      <c r="B472" s="282"/>
      <c r="C472" s="282"/>
      <c r="D472" s="282"/>
      <c r="E472" s="282"/>
      <c r="F472" s="282"/>
      <c r="G472" s="282"/>
      <c r="H472" s="282"/>
      <c r="I472" s="282"/>
      <c r="J472" s="282"/>
      <c r="K472" s="282"/>
      <c r="L472" s="282"/>
      <c r="M472" s="282"/>
      <c r="N472" s="282"/>
      <c r="O472" s="282"/>
      <c r="P472" s="282"/>
      <c r="Q472" s="282"/>
      <c r="R472" s="282"/>
      <c r="S472" s="282"/>
      <c r="T472" s="282"/>
      <c r="U472" s="282"/>
      <c r="V472" s="282"/>
      <c r="W472" s="282"/>
      <c r="X472" s="282"/>
    </row>
    <row r="473" customFormat="false" ht="14.25" hidden="false" customHeight="false" outlineLevel="0" collapsed="false">
      <c r="A473" s="282"/>
      <c r="B473" s="282"/>
      <c r="C473" s="282"/>
      <c r="D473" s="282"/>
      <c r="E473" s="282"/>
      <c r="F473" s="282"/>
      <c r="G473" s="282"/>
      <c r="H473" s="282"/>
      <c r="I473" s="282"/>
      <c r="J473" s="282"/>
      <c r="K473" s="282"/>
      <c r="L473" s="282"/>
      <c r="M473" s="282"/>
      <c r="N473" s="282"/>
      <c r="O473" s="282"/>
      <c r="P473" s="282"/>
      <c r="Q473" s="282"/>
      <c r="R473" s="282"/>
      <c r="S473" s="282"/>
      <c r="T473" s="282"/>
      <c r="U473" s="282"/>
      <c r="V473" s="282"/>
      <c r="W473" s="282"/>
      <c r="X473" s="282"/>
    </row>
    <row r="474" customFormat="false" ht="14.25" hidden="false" customHeight="false" outlineLevel="0" collapsed="false">
      <c r="A474" s="282"/>
      <c r="B474" s="282"/>
      <c r="C474" s="282"/>
      <c r="D474" s="282"/>
      <c r="E474" s="282"/>
      <c r="F474" s="282"/>
      <c r="G474" s="282"/>
      <c r="H474" s="282"/>
      <c r="I474" s="282"/>
      <c r="J474" s="282"/>
      <c r="K474" s="282"/>
      <c r="L474" s="282"/>
      <c r="M474" s="282"/>
      <c r="N474" s="282"/>
      <c r="O474" s="282"/>
      <c r="P474" s="282"/>
      <c r="Q474" s="282"/>
      <c r="R474" s="282"/>
      <c r="S474" s="282"/>
      <c r="T474" s="282"/>
      <c r="U474" s="282"/>
      <c r="V474" s="282"/>
      <c r="W474" s="282"/>
      <c r="X474" s="282"/>
    </row>
    <row r="475" customFormat="false" ht="14.25" hidden="false" customHeight="false" outlineLevel="0" collapsed="false">
      <c r="A475" s="282"/>
      <c r="B475" s="282"/>
      <c r="C475" s="282"/>
      <c r="D475" s="282"/>
      <c r="E475" s="282"/>
      <c r="F475" s="282"/>
      <c r="G475" s="282"/>
      <c r="H475" s="282"/>
      <c r="I475" s="282"/>
      <c r="J475" s="282"/>
      <c r="K475" s="282"/>
      <c r="L475" s="282"/>
      <c r="M475" s="282"/>
      <c r="N475" s="282"/>
      <c r="O475" s="282"/>
      <c r="P475" s="282"/>
      <c r="Q475" s="282"/>
      <c r="R475" s="282"/>
      <c r="S475" s="282"/>
      <c r="T475" s="282"/>
      <c r="U475" s="282"/>
      <c r="V475" s="282"/>
      <c r="W475" s="282"/>
      <c r="X475" s="282"/>
    </row>
    <row r="476" customFormat="false" ht="14.25" hidden="false" customHeight="false" outlineLevel="0" collapsed="false">
      <c r="A476" s="282"/>
      <c r="B476" s="282"/>
      <c r="C476" s="282"/>
      <c r="D476" s="282"/>
      <c r="E476" s="282"/>
      <c r="F476" s="282"/>
      <c r="G476" s="282"/>
      <c r="H476" s="282"/>
      <c r="I476" s="282"/>
      <c r="J476" s="282"/>
      <c r="K476" s="282"/>
      <c r="L476" s="282"/>
      <c r="M476" s="282"/>
      <c r="N476" s="282"/>
      <c r="O476" s="282"/>
      <c r="P476" s="282"/>
      <c r="Q476" s="282"/>
      <c r="R476" s="282"/>
      <c r="S476" s="282"/>
      <c r="T476" s="282"/>
      <c r="U476" s="282"/>
      <c r="V476" s="282"/>
      <c r="W476" s="282"/>
      <c r="X476" s="282"/>
    </row>
    <row r="477" customFormat="false" ht="14.25" hidden="false" customHeight="false" outlineLevel="0" collapsed="false">
      <c r="A477" s="282"/>
      <c r="B477" s="282"/>
      <c r="C477" s="282"/>
      <c r="D477" s="282"/>
      <c r="E477" s="282"/>
      <c r="F477" s="282"/>
      <c r="G477" s="282"/>
      <c r="H477" s="282"/>
      <c r="I477" s="282"/>
      <c r="J477" s="282"/>
      <c r="K477" s="282"/>
      <c r="L477" s="282"/>
      <c r="M477" s="282"/>
      <c r="N477" s="282"/>
      <c r="O477" s="282"/>
      <c r="P477" s="282"/>
      <c r="Q477" s="282"/>
      <c r="R477" s="282"/>
      <c r="S477" s="282"/>
      <c r="T477" s="282"/>
      <c r="U477" s="282"/>
      <c r="V477" s="282"/>
      <c r="W477" s="282"/>
      <c r="X477" s="282"/>
    </row>
    <row r="478" customFormat="false" ht="14.25" hidden="false" customHeight="false" outlineLevel="0" collapsed="false">
      <c r="A478" s="282"/>
      <c r="B478" s="282"/>
      <c r="C478" s="282"/>
      <c r="D478" s="282"/>
      <c r="E478" s="282"/>
      <c r="F478" s="282"/>
      <c r="G478" s="282"/>
      <c r="H478" s="282"/>
      <c r="I478" s="282"/>
      <c r="J478" s="282"/>
      <c r="K478" s="282"/>
      <c r="L478" s="282"/>
      <c r="M478" s="282"/>
      <c r="N478" s="282"/>
      <c r="O478" s="282"/>
      <c r="P478" s="282"/>
      <c r="Q478" s="282"/>
      <c r="R478" s="282"/>
      <c r="S478" s="282"/>
      <c r="T478" s="282"/>
      <c r="U478" s="282"/>
      <c r="V478" s="282"/>
      <c r="W478" s="282"/>
      <c r="X478" s="282"/>
    </row>
    <row r="479" customFormat="false" ht="14.25" hidden="false" customHeight="false" outlineLevel="0" collapsed="false">
      <c r="A479" s="282"/>
      <c r="B479" s="282"/>
      <c r="C479" s="282"/>
      <c r="D479" s="282"/>
      <c r="E479" s="282"/>
      <c r="F479" s="282"/>
      <c r="G479" s="282"/>
      <c r="H479" s="282"/>
      <c r="I479" s="282"/>
      <c r="J479" s="282"/>
      <c r="K479" s="282"/>
      <c r="L479" s="282"/>
      <c r="M479" s="282"/>
      <c r="N479" s="282"/>
      <c r="O479" s="282"/>
      <c r="P479" s="282"/>
      <c r="Q479" s="282"/>
      <c r="R479" s="282"/>
      <c r="S479" s="282"/>
      <c r="T479" s="282"/>
      <c r="U479" s="282"/>
      <c r="V479" s="282"/>
      <c r="W479" s="282"/>
      <c r="X479" s="282"/>
    </row>
    <row r="480" customFormat="false" ht="14.25" hidden="false" customHeight="false" outlineLevel="0" collapsed="false">
      <c r="A480" s="282"/>
      <c r="B480" s="282"/>
      <c r="C480" s="282"/>
      <c r="D480" s="282"/>
      <c r="E480" s="282"/>
      <c r="F480" s="282"/>
      <c r="G480" s="282"/>
      <c r="H480" s="282"/>
      <c r="I480" s="282"/>
      <c r="J480" s="282"/>
      <c r="K480" s="282"/>
      <c r="L480" s="282"/>
      <c r="M480" s="282"/>
      <c r="N480" s="282"/>
      <c r="O480" s="282"/>
      <c r="P480" s="282"/>
      <c r="Q480" s="282"/>
      <c r="R480" s="282"/>
      <c r="S480" s="282"/>
      <c r="T480" s="282"/>
      <c r="U480" s="282"/>
      <c r="V480" s="282"/>
      <c r="W480" s="282"/>
      <c r="X480" s="282"/>
    </row>
    <row r="481" customFormat="false" ht="14.25" hidden="false" customHeight="false" outlineLevel="0" collapsed="false">
      <c r="A481" s="282"/>
      <c r="B481" s="282"/>
      <c r="C481" s="282"/>
      <c r="D481" s="282"/>
      <c r="E481" s="282"/>
      <c r="F481" s="282"/>
      <c r="G481" s="282"/>
      <c r="H481" s="282"/>
      <c r="I481" s="282"/>
      <c r="J481" s="282"/>
      <c r="K481" s="282"/>
      <c r="L481" s="282"/>
      <c r="M481" s="282"/>
      <c r="N481" s="282"/>
      <c r="O481" s="282"/>
      <c r="P481" s="282"/>
      <c r="Q481" s="282"/>
      <c r="R481" s="282"/>
      <c r="S481" s="282"/>
      <c r="T481" s="282"/>
      <c r="U481" s="282"/>
      <c r="V481" s="282"/>
      <c r="W481" s="282"/>
      <c r="X481" s="282"/>
    </row>
    <row r="482" customFormat="false" ht="14.25" hidden="false" customHeight="false" outlineLevel="0" collapsed="false">
      <c r="A482" s="282"/>
      <c r="B482" s="282"/>
      <c r="C482" s="282"/>
      <c r="D482" s="282"/>
      <c r="E482" s="282"/>
      <c r="F482" s="282"/>
      <c r="G482" s="282"/>
      <c r="H482" s="282"/>
      <c r="I482" s="282"/>
      <c r="J482" s="282"/>
      <c r="K482" s="282"/>
      <c r="L482" s="282"/>
      <c r="M482" s="282"/>
      <c r="N482" s="282"/>
      <c r="O482" s="282"/>
      <c r="P482" s="282"/>
      <c r="Q482" s="282"/>
      <c r="R482" s="282"/>
      <c r="S482" s="282"/>
      <c r="T482" s="282"/>
      <c r="U482" s="282"/>
      <c r="V482" s="282"/>
      <c r="W482" s="282"/>
      <c r="X482" s="282"/>
    </row>
    <row r="483" customFormat="false" ht="14.25" hidden="false" customHeight="false" outlineLevel="0" collapsed="false">
      <c r="A483" s="282"/>
      <c r="B483" s="282"/>
      <c r="C483" s="282"/>
      <c r="D483" s="282"/>
      <c r="E483" s="282"/>
      <c r="F483" s="282"/>
      <c r="G483" s="282"/>
      <c r="H483" s="282"/>
      <c r="I483" s="282"/>
      <c r="J483" s="282"/>
      <c r="K483" s="282"/>
      <c r="L483" s="282"/>
      <c r="M483" s="282"/>
      <c r="N483" s="282"/>
      <c r="O483" s="282"/>
      <c r="P483" s="282"/>
      <c r="Q483" s="282"/>
      <c r="R483" s="282"/>
      <c r="S483" s="282"/>
      <c r="T483" s="282"/>
      <c r="U483" s="282"/>
      <c r="V483" s="282"/>
      <c r="W483" s="282"/>
      <c r="X483" s="282"/>
    </row>
    <row r="484" customFormat="false" ht="14.25" hidden="false" customHeight="false" outlineLevel="0" collapsed="false">
      <c r="A484" s="282"/>
      <c r="B484" s="282"/>
      <c r="C484" s="282"/>
      <c r="D484" s="282"/>
      <c r="E484" s="282"/>
      <c r="F484" s="282"/>
      <c r="G484" s="282"/>
      <c r="H484" s="282"/>
      <c r="I484" s="282"/>
      <c r="J484" s="282"/>
      <c r="K484" s="282"/>
      <c r="L484" s="282"/>
      <c r="M484" s="282"/>
      <c r="N484" s="282"/>
      <c r="O484" s="282"/>
      <c r="P484" s="282"/>
      <c r="Q484" s="282"/>
      <c r="R484" s="282"/>
      <c r="S484" s="282"/>
      <c r="T484" s="282"/>
      <c r="U484" s="282"/>
      <c r="V484" s="282"/>
      <c r="W484" s="282"/>
      <c r="X484" s="282"/>
    </row>
    <row r="485" customFormat="false" ht="14.25" hidden="false" customHeight="false" outlineLevel="0" collapsed="false">
      <c r="A485" s="282"/>
      <c r="B485" s="282"/>
      <c r="C485" s="282"/>
      <c r="D485" s="282"/>
      <c r="E485" s="282"/>
      <c r="F485" s="282"/>
      <c r="G485" s="282"/>
      <c r="H485" s="282"/>
      <c r="I485" s="282"/>
      <c r="J485" s="282"/>
      <c r="K485" s="282"/>
      <c r="L485" s="282"/>
      <c r="M485" s="282"/>
      <c r="N485" s="282"/>
      <c r="O485" s="282"/>
      <c r="P485" s="282"/>
      <c r="Q485" s="282"/>
      <c r="R485" s="282"/>
      <c r="S485" s="282"/>
      <c r="T485" s="282"/>
      <c r="U485" s="282"/>
      <c r="V485" s="282"/>
      <c r="W485" s="282"/>
      <c r="X485" s="282"/>
    </row>
    <row r="486" customFormat="false" ht="14.25" hidden="false" customHeight="false" outlineLevel="0" collapsed="false">
      <c r="A486" s="282"/>
      <c r="B486" s="282"/>
      <c r="C486" s="282"/>
      <c r="D486" s="282"/>
      <c r="E486" s="282"/>
      <c r="F486" s="282"/>
      <c r="G486" s="282"/>
      <c r="H486" s="282"/>
      <c r="I486" s="282"/>
      <c r="J486" s="282"/>
      <c r="K486" s="282"/>
      <c r="L486" s="282"/>
      <c r="M486" s="282"/>
      <c r="N486" s="282"/>
      <c r="O486" s="282"/>
      <c r="P486" s="282"/>
      <c r="Q486" s="282"/>
      <c r="R486" s="282"/>
      <c r="S486" s="282"/>
      <c r="T486" s="282"/>
      <c r="U486" s="282"/>
      <c r="V486" s="282"/>
      <c r="W486" s="282"/>
      <c r="X486" s="282"/>
    </row>
    <row r="487" customFormat="false" ht="14.25" hidden="false" customHeight="false" outlineLevel="0" collapsed="false">
      <c r="A487" s="282"/>
      <c r="B487" s="282"/>
      <c r="C487" s="282"/>
      <c r="D487" s="282"/>
      <c r="E487" s="282"/>
      <c r="F487" s="282"/>
      <c r="G487" s="282"/>
      <c r="H487" s="282"/>
      <c r="I487" s="282"/>
      <c r="J487" s="282"/>
      <c r="K487" s="282"/>
      <c r="L487" s="282"/>
      <c r="M487" s="282"/>
      <c r="N487" s="282"/>
      <c r="O487" s="282"/>
      <c r="P487" s="282"/>
      <c r="Q487" s="282"/>
      <c r="R487" s="282"/>
      <c r="S487" s="282"/>
      <c r="T487" s="282"/>
      <c r="U487" s="282"/>
      <c r="V487" s="282"/>
      <c r="W487" s="282"/>
      <c r="X487" s="282"/>
    </row>
    <row r="488" customFormat="false" ht="14.25" hidden="false" customHeight="false" outlineLevel="0" collapsed="false">
      <c r="A488" s="282"/>
      <c r="B488" s="282"/>
      <c r="C488" s="282"/>
      <c r="D488" s="282"/>
      <c r="E488" s="282"/>
      <c r="F488" s="282"/>
      <c r="G488" s="282"/>
      <c r="H488" s="282"/>
      <c r="I488" s="282"/>
      <c r="J488" s="282"/>
      <c r="K488" s="282"/>
      <c r="L488" s="282"/>
      <c r="M488" s="282"/>
      <c r="N488" s="282"/>
      <c r="O488" s="282"/>
      <c r="P488" s="282"/>
      <c r="Q488" s="282"/>
      <c r="R488" s="282"/>
      <c r="S488" s="282"/>
      <c r="T488" s="282"/>
      <c r="U488" s="282"/>
      <c r="V488" s="282"/>
      <c r="W488" s="282"/>
      <c r="X488" s="282"/>
    </row>
    <row r="489" customFormat="false" ht="14.25" hidden="false" customHeight="false" outlineLevel="0" collapsed="false">
      <c r="A489" s="282"/>
      <c r="B489" s="282"/>
      <c r="C489" s="282"/>
      <c r="D489" s="282"/>
      <c r="E489" s="282"/>
      <c r="F489" s="282"/>
      <c r="G489" s="282"/>
      <c r="H489" s="282"/>
      <c r="I489" s="282"/>
      <c r="J489" s="282"/>
      <c r="K489" s="282"/>
      <c r="L489" s="282"/>
      <c r="M489" s="282"/>
      <c r="N489" s="282"/>
      <c r="O489" s="282"/>
      <c r="P489" s="282"/>
      <c r="Q489" s="282"/>
      <c r="R489" s="282"/>
      <c r="S489" s="282"/>
      <c r="T489" s="282"/>
      <c r="U489" s="282"/>
      <c r="V489" s="282"/>
      <c r="W489" s="282"/>
      <c r="X489" s="282"/>
    </row>
    <row r="490" customFormat="false" ht="14.25" hidden="false" customHeight="false" outlineLevel="0" collapsed="false">
      <c r="A490" s="282"/>
      <c r="B490" s="282"/>
      <c r="C490" s="282"/>
      <c r="D490" s="282"/>
      <c r="E490" s="282"/>
      <c r="F490" s="282"/>
      <c r="G490" s="282"/>
      <c r="H490" s="282"/>
      <c r="I490" s="282"/>
      <c r="J490" s="282"/>
      <c r="K490" s="282"/>
      <c r="L490" s="282"/>
      <c r="M490" s="282"/>
      <c r="N490" s="282"/>
      <c r="O490" s="282"/>
      <c r="P490" s="282"/>
      <c r="Q490" s="282"/>
      <c r="R490" s="282"/>
      <c r="S490" s="282"/>
      <c r="T490" s="282"/>
      <c r="U490" s="282"/>
      <c r="V490" s="282"/>
      <c r="W490" s="282"/>
      <c r="X490" s="282"/>
    </row>
    <row r="491" customFormat="false" ht="14.25" hidden="false" customHeight="false" outlineLevel="0" collapsed="false">
      <c r="A491" s="282"/>
      <c r="B491" s="282"/>
      <c r="C491" s="282"/>
      <c r="D491" s="282"/>
      <c r="E491" s="282"/>
      <c r="F491" s="282"/>
      <c r="G491" s="282"/>
      <c r="H491" s="282"/>
      <c r="I491" s="282"/>
      <c r="J491" s="282"/>
      <c r="K491" s="282"/>
      <c r="L491" s="282"/>
      <c r="M491" s="282"/>
      <c r="N491" s="282"/>
      <c r="O491" s="282"/>
      <c r="P491" s="282"/>
      <c r="Q491" s="282"/>
      <c r="R491" s="282"/>
      <c r="S491" s="282"/>
      <c r="T491" s="282"/>
      <c r="U491" s="282"/>
      <c r="V491" s="282"/>
      <c r="W491" s="282"/>
      <c r="X491" s="282"/>
    </row>
    <row r="492" customFormat="false" ht="14.25" hidden="false" customHeight="false" outlineLevel="0" collapsed="false">
      <c r="A492" s="282"/>
      <c r="B492" s="282"/>
      <c r="C492" s="282"/>
      <c r="D492" s="282"/>
      <c r="E492" s="282"/>
      <c r="F492" s="282"/>
      <c r="G492" s="282"/>
      <c r="H492" s="282"/>
      <c r="I492" s="282"/>
      <c r="J492" s="282"/>
      <c r="K492" s="282"/>
      <c r="L492" s="282"/>
      <c r="M492" s="282"/>
      <c r="N492" s="282"/>
      <c r="O492" s="282"/>
      <c r="P492" s="282"/>
      <c r="Q492" s="282"/>
      <c r="R492" s="282"/>
      <c r="S492" s="282"/>
      <c r="T492" s="282"/>
      <c r="U492" s="282"/>
      <c r="V492" s="282"/>
      <c r="W492" s="282"/>
      <c r="X492" s="282"/>
    </row>
    <row r="493" customFormat="false" ht="14.25" hidden="false" customHeight="false" outlineLevel="0" collapsed="false">
      <c r="A493" s="282"/>
      <c r="B493" s="282"/>
      <c r="C493" s="282"/>
      <c r="D493" s="282"/>
      <c r="E493" s="282"/>
      <c r="F493" s="282"/>
      <c r="G493" s="282"/>
      <c r="H493" s="282"/>
      <c r="I493" s="282"/>
      <c r="J493" s="282"/>
      <c r="K493" s="282"/>
      <c r="L493" s="282"/>
      <c r="M493" s="282"/>
      <c r="N493" s="282"/>
      <c r="O493" s="282"/>
      <c r="P493" s="282"/>
      <c r="Q493" s="282"/>
      <c r="R493" s="282"/>
      <c r="S493" s="282"/>
      <c r="T493" s="282"/>
      <c r="U493" s="282"/>
      <c r="V493" s="282"/>
      <c r="W493" s="282"/>
      <c r="X493" s="282"/>
    </row>
    <row r="494" customFormat="false" ht="14.25" hidden="false" customHeight="false" outlineLevel="0" collapsed="false">
      <c r="A494" s="282"/>
      <c r="B494" s="282"/>
      <c r="C494" s="282"/>
      <c r="D494" s="282"/>
      <c r="E494" s="282"/>
      <c r="F494" s="282"/>
      <c r="G494" s="282"/>
      <c r="H494" s="282"/>
      <c r="I494" s="282"/>
      <c r="J494" s="282"/>
      <c r="K494" s="282"/>
      <c r="L494" s="282"/>
      <c r="M494" s="282"/>
      <c r="N494" s="282"/>
      <c r="O494" s="282"/>
      <c r="P494" s="282"/>
      <c r="Q494" s="282"/>
      <c r="R494" s="282"/>
      <c r="S494" s="282"/>
      <c r="T494" s="282"/>
      <c r="U494" s="282"/>
      <c r="V494" s="282"/>
      <c r="W494" s="282"/>
      <c r="X494" s="282"/>
    </row>
    <row r="495" customFormat="false" ht="14.25" hidden="false" customHeight="false" outlineLevel="0" collapsed="false">
      <c r="A495" s="282"/>
      <c r="B495" s="282"/>
      <c r="C495" s="282"/>
      <c r="D495" s="282"/>
      <c r="E495" s="282"/>
      <c r="F495" s="282"/>
      <c r="G495" s="282"/>
      <c r="H495" s="282"/>
      <c r="I495" s="282"/>
      <c r="J495" s="282"/>
      <c r="K495" s="282"/>
      <c r="L495" s="282"/>
      <c r="M495" s="282"/>
      <c r="N495" s="282"/>
      <c r="O495" s="282"/>
      <c r="P495" s="282"/>
      <c r="Q495" s="282"/>
      <c r="R495" s="282"/>
      <c r="S495" s="282"/>
      <c r="T495" s="282"/>
      <c r="U495" s="282"/>
      <c r="V495" s="282"/>
      <c r="W495" s="282"/>
      <c r="X495" s="282"/>
    </row>
    <row r="496" customFormat="false" ht="14.25" hidden="false" customHeight="false" outlineLevel="0" collapsed="false">
      <c r="A496" s="282"/>
      <c r="B496" s="282"/>
      <c r="C496" s="282"/>
      <c r="D496" s="282"/>
      <c r="E496" s="282"/>
      <c r="F496" s="282"/>
      <c r="G496" s="282"/>
      <c r="H496" s="282"/>
      <c r="I496" s="282"/>
      <c r="J496" s="282"/>
      <c r="K496" s="282"/>
      <c r="L496" s="282"/>
      <c r="M496" s="282"/>
      <c r="N496" s="282"/>
      <c r="O496" s="282"/>
      <c r="P496" s="282"/>
      <c r="Q496" s="282"/>
      <c r="R496" s="282"/>
      <c r="S496" s="282"/>
      <c r="T496" s="282"/>
      <c r="U496" s="282"/>
      <c r="V496" s="282"/>
      <c r="W496" s="282"/>
      <c r="X496" s="282"/>
    </row>
    <row r="497" customFormat="false" ht="14.25" hidden="false" customHeight="false" outlineLevel="0" collapsed="false">
      <c r="A497" s="282"/>
      <c r="B497" s="282"/>
      <c r="C497" s="282"/>
      <c r="D497" s="282"/>
      <c r="E497" s="282"/>
      <c r="F497" s="282"/>
      <c r="G497" s="282"/>
      <c r="H497" s="282"/>
      <c r="I497" s="282"/>
      <c r="J497" s="282"/>
      <c r="K497" s="282"/>
      <c r="L497" s="282"/>
      <c r="M497" s="282"/>
      <c r="N497" s="282"/>
      <c r="O497" s="282"/>
      <c r="P497" s="282"/>
      <c r="Q497" s="282"/>
      <c r="R497" s="282"/>
      <c r="S497" s="282"/>
      <c r="T497" s="282"/>
      <c r="U497" s="282"/>
      <c r="V497" s="282"/>
      <c r="W497" s="282"/>
      <c r="X497" s="282"/>
    </row>
    <row r="498" customFormat="false" ht="14.25" hidden="false" customHeight="false" outlineLevel="0" collapsed="false">
      <c r="A498" s="282"/>
      <c r="B498" s="282"/>
      <c r="C498" s="282"/>
      <c r="D498" s="282"/>
      <c r="E498" s="282"/>
      <c r="F498" s="282"/>
      <c r="G498" s="282"/>
      <c r="H498" s="282"/>
      <c r="I498" s="282"/>
      <c r="J498" s="282"/>
      <c r="K498" s="282"/>
      <c r="L498" s="282"/>
      <c r="M498" s="282"/>
      <c r="N498" s="282"/>
      <c r="O498" s="282"/>
      <c r="P498" s="282"/>
      <c r="Q498" s="282"/>
      <c r="R498" s="282"/>
      <c r="S498" s="282"/>
      <c r="T498" s="282"/>
      <c r="U498" s="282"/>
      <c r="V498" s="282"/>
      <c r="W498" s="282"/>
      <c r="X498" s="282"/>
    </row>
    <row r="499" customFormat="false" ht="14.25" hidden="false" customHeight="false" outlineLevel="0" collapsed="false">
      <c r="A499" s="282"/>
      <c r="B499" s="282"/>
      <c r="C499" s="282"/>
      <c r="D499" s="282"/>
      <c r="E499" s="282"/>
      <c r="F499" s="282"/>
      <c r="G499" s="282"/>
      <c r="H499" s="282"/>
      <c r="I499" s="282"/>
      <c r="J499" s="282"/>
      <c r="K499" s="282"/>
      <c r="L499" s="282"/>
      <c r="M499" s="282"/>
      <c r="N499" s="282"/>
      <c r="O499" s="282"/>
      <c r="P499" s="282"/>
      <c r="Q499" s="282"/>
      <c r="R499" s="282"/>
      <c r="S499" s="282"/>
      <c r="T499" s="282"/>
      <c r="U499" s="282"/>
      <c r="V499" s="282"/>
      <c r="W499" s="282"/>
      <c r="X499" s="282"/>
    </row>
    <row r="500" customFormat="false" ht="14.25" hidden="false" customHeight="false" outlineLevel="0" collapsed="false">
      <c r="A500" s="282"/>
      <c r="B500" s="282"/>
      <c r="C500" s="282"/>
      <c r="D500" s="282"/>
      <c r="E500" s="282"/>
      <c r="F500" s="282"/>
      <c r="G500" s="282"/>
      <c r="H500" s="282"/>
      <c r="I500" s="282"/>
      <c r="J500" s="282"/>
      <c r="K500" s="282"/>
      <c r="L500" s="282"/>
      <c r="M500" s="282"/>
      <c r="N500" s="282"/>
      <c r="O500" s="282"/>
      <c r="P500" s="282"/>
      <c r="Q500" s="282"/>
      <c r="R500" s="282"/>
      <c r="S500" s="282"/>
      <c r="T500" s="282"/>
      <c r="U500" s="282"/>
      <c r="V500" s="282"/>
      <c r="W500" s="282"/>
      <c r="X500" s="282"/>
    </row>
    <row r="501" customFormat="false" ht="14.25" hidden="false" customHeight="false" outlineLevel="0" collapsed="false">
      <c r="A501" s="282"/>
      <c r="B501" s="282"/>
      <c r="C501" s="282"/>
      <c r="D501" s="282"/>
      <c r="E501" s="282"/>
      <c r="F501" s="282"/>
      <c r="G501" s="282"/>
      <c r="H501" s="282"/>
      <c r="I501" s="282"/>
      <c r="J501" s="282"/>
      <c r="K501" s="282"/>
      <c r="L501" s="282"/>
      <c r="M501" s="282"/>
      <c r="N501" s="282"/>
      <c r="O501" s="282"/>
      <c r="P501" s="282"/>
      <c r="Q501" s="282"/>
      <c r="R501" s="282"/>
      <c r="S501" s="282"/>
      <c r="T501" s="282"/>
      <c r="U501" s="282"/>
      <c r="V501" s="282"/>
      <c r="W501" s="282"/>
      <c r="X501" s="282"/>
    </row>
    <row r="502" customFormat="false" ht="14.25" hidden="false" customHeight="false" outlineLevel="0" collapsed="false">
      <c r="A502" s="282"/>
      <c r="B502" s="282"/>
      <c r="C502" s="282"/>
      <c r="D502" s="282"/>
      <c r="E502" s="282"/>
      <c r="F502" s="282"/>
      <c r="G502" s="282"/>
      <c r="H502" s="282"/>
      <c r="I502" s="282"/>
      <c r="J502" s="282"/>
      <c r="K502" s="282"/>
      <c r="L502" s="282"/>
      <c r="M502" s="282"/>
      <c r="N502" s="282"/>
      <c r="O502" s="282"/>
      <c r="P502" s="282"/>
      <c r="Q502" s="282"/>
      <c r="R502" s="282"/>
      <c r="S502" s="282"/>
      <c r="T502" s="282"/>
      <c r="U502" s="282"/>
      <c r="V502" s="282"/>
      <c r="W502" s="282"/>
      <c r="X502" s="282"/>
    </row>
    <row r="503" customFormat="false" ht="14.25" hidden="false" customHeight="false" outlineLevel="0" collapsed="false">
      <c r="A503" s="282"/>
      <c r="B503" s="282"/>
      <c r="C503" s="282"/>
      <c r="D503" s="282"/>
      <c r="E503" s="282"/>
      <c r="F503" s="282"/>
      <c r="G503" s="282"/>
      <c r="H503" s="282"/>
      <c r="I503" s="282"/>
      <c r="J503" s="282"/>
      <c r="K503" s="282"/>
      <c r="L503" s="282"/>
      <c r="M503" s="282"/>
      <c r="N503" s="282"/>
      <c r="O503" s="282"/>
      <c r="P503" s="282"/>
      <c r="Q503" s="282"/>
      <c r="R503" s="282"/>
      <c r="S503" s="282"/>
      <c r="T503" s="282"/>
      <c r="U503" s="282"/>
      <c r="V503" s="282"/>
      <c r="W503" s="282"/>
      <c r="X503" s="282"/>
    </row>
    <row r="504" customFormat="false" ht="14.25" hidden="false" customHeight="false" outlineLevel="0" collapsed="false">
      <c r="A504" s="282"/>
      <c r="B504" s="282"/>
      <c r="C504" s="282"/>
      <c r="D504" s="282"/>
      <c r="E504" s="282"/>
      <c r="F504" s="282"/>
      <c r="G504" s="282"/>
      <c r="H504" s="282"/>
      <c r="I504" s="282"/>
      <c r="J504" s="282"/>
      <c r="K504" s="282"/>
      <c r="L504" s="282"/>
      <c r="M504" s="282"/>
      <c r="N504" s="282"/>
      <c r="O504" s="282"/>
      <c r="P504" s="282"/>
      <c r="Q504" s="282"/>
      <c r="R504" s="282"/>
      <c r="S504" s="282"/>
      <c r="T504" s="282"/>
      <c r="U504" s="282"/>
      <c r="V504" s="282"/>
      <c r="W504" s="282"/>
      <c r="X504" s="282"/>
    </row>
    <row r="505" customFormat="false" ht="14.25" hidden="false" customHeight="false" outlineLevel="0" collapsed="false">
      <c r="A505" s="282"/>
      <c r="B505" s="282"/>
      <c r="C505" s="282"/>
      <c r="D505" s="282"/>
      <c r="E505" s="282"/>
      <c r="F505" s="282"/>
      <c r="G505" s="282"/>
      <c r="H505" s="282"/>
      <c r="I505" s="282"/>
      <c r="J505" s="282"/>
      <c r="K505" s="282"/>
      <c r="L505" s="282"/>
      <c r="M505" s="282"/>
      <c r="N505" s="282"/>
      <c r="O505" s="282"/>
      <c r="P505" s="282"/>
      <c r="Q505" s="282"/>
      <c r="R505" s="282"/>
      <c r="S505" s="282"/>
      <c r="T505" s="282"/>
      <c r="U505" s="282"/>
      <c r="V505" s="282"/>
      <c r="W505" s="282"/>
      <c r="X505" s="282"/>
    </row>
    <row r="506" customFormat="false" ht="14.25" hidden="false" customHeight="false" outlineLevel="0" collapsed="false">
      <c r="A506" s="282"/>
      <c r="B506" s="282"/>
      <c r="C506" s="282"/>
      <c r="D506" s="282"/>
      <c r="E506" s="282"/>
      <c r="F506" s="282"/>
      <c r="G506" s="282"/>
      <c r="H506" s="282"/>
      <c r="I506" s="282"/>
      <c r="J506" s="282"/>
      <c r="K506" s="282"/>
      <c r="L506" s="282"/>
      <c r="M506" s="282"/>
      <c r="N506" s="282"/>
      <c r="O506" s="282"/>
      <c r="P506" s="282"/>
      <c r="Q506" s="282"/>
      <c r="R506" s="282"/>
      <c r="S506" s="282"/>
      <c r="T506" s="282"/>
      <c r="U506" s="282"/>
      <c r="V506" s="282"/>
      <c r="W506" s="282"/>
      <c r="X506" s="282"/>
    </row>
    <row r="507" customFormat="false" ht="14.25" hidden="false" customHeight="false" outlineLevel="0" collapsed="false">
      <c r="A507" s="282"/>
      <c r="B507" s="282"/>
      <c r="C507" s="282"/>
      <c r="D507" s="282"/>
      <c r="E507" s="282"/>
      <c r="F507" s="282"/>
      <c r="G507" s="282"/>
      <c r="H507" s="282"/>
      <c r="I507" s="282"/>
      <c r="J507" s="282"/>
      <c r="K507" s="282"/>
      <c r="L507" s="282"/>
      <c r="M507" s="282"/>
      <c r="N507" s="282"/>
      <c r="O507" s="282"/>
      <c r="P507" s="282"/>
      <c r="Q507" s="282"/>
      <c r="R507" s="282"/>
      <c r="S507" s="282"/>
      <c r="T507" s="282"/>
      <c r="U507" s="282"/>
      <c r="V507" s="282"/>
      <c r="W507" s="282"/>
      <c r="X507" s="282"/>
    </row>
    <row r="508" customFormat="false" ht="14.25" hidden="false" customHeight="false" outlineLevel="0" collapsed="false">
      <c r="A508" s="282"/>
      <c r="B508" s="282"/>
      <c r="C508" s="282"/>
      <c r="D508" s="282"/>
      <c r="E508" s="282"/>
      <c r="F508" s="282"/>
      <c r="G508" s="282"/>
      <c r="H508" s="282"/>
      <c r="I508" s="282"/>
      <c r="J508" s="282"/>
      <c r="K508" s="282"/>
      <c r="L508" s="282"/>
      <c r="M508" s="282"/>
      <c r="N508" s="282"/>
      <c r="O508" s="282"/>
      <c r="P508" s="282"/>
      <c r="Q508" s="282"/>
      <c r="R508" s="282"/>
      <c r="S508" s="282"/>
      <c r="T508" s="282"/>
      <c r="U508" s="282"/>
      <c r="V508" s="282"/>
      <c r="W508" s="282"/>
      <c r="X508" s="282"/>
    </row>
    <row r="509" customFormat="false" ht="14.25" hidden="false" customHeight="false" outlineLevel="0" collapsed="false">
      <c r="A509" s="282"/>
      <c r="B509" s="282"/>
      <c r="C509" s="282"/>
      <c r="D509" s="282"/>
      <c r="E509" s="282"/>
      <c r="F509" s="282"/>
      <c r="G509" s="282"/>
      <c r="H509" s="282"/>
      <c r="I509" s="282"/>
      <c r="J509" s="282"/>
      <c r="K509" s="282"/>
      <c r="L509" s="282"/>
      <c r="M509" s="282"/>
      <c r="N509" s="282"/>
      <c r="O509" s="282"/>
      <c r="P509" s="282"/>
      <c r="Q509" s="282"/>
      <c r="R509" s="282"/>
      <c r="S509" s="282"/>
      <c r="T509" s="282"/>
      <c r="U509" s="282"/>
      <c r="V509" s="282"/>
      <c r="W509" s="282"/>
      <c r="X509" s="282"/>
    </row>
    <row r="510" customFormat="false" ht="14.25" hidden="false" customHeight="false" outlineLevel="0" collapsed="false">
      <c r="A510" s="282"/>
      <c r="B510" s="282"/>
      <c r="C510" s="282"/>
      <c r="D510" s="282"/>
      <c r="E510" s="282"/>
      <c r="F510" s="282"/>
      <c r="G510" s="282"/>
      <c r="H510" s="282"/>
      <c r="I510" s="282"/>
      <c r="J510" s="282"/>
      <c r="K510" s="282"/>
      <c r="L510" s="282"/>
      <c r="M510" s="282"/>
      <c r="N510" s="282"/>
      <c r="O510" s="282"/>
      <c r="P510" s="282"/>
      <c r="Q510" s="282"/>
      <c r="R510" s="282"/>
      <c r="S510" s="282"/>
      <c r="T510" s="282"/>
      <c r="U510" s="282"/>
      <c r="V510" s="282"/>
      <c r="W510" s="282"/>
      <c r="X510" s="282"/>
    </row>
    <row r="511" customFormat="false" ht="14.25" hidden="false" customHeight="false" outlineLevel="0" collapsed="false">
      <c r="A511" s="282"/>
      <c r="B511" s="282"/>
      <c r="C511" s="282"/>
      <c r="D511" s="282"/>
      <c r="E511" s="282"/>
      <c r="F511" s="282"/>
      <c r="G511" s="282"/>
      <c r="H511" s="282"/>
      <c r="I511" s="282"/>
      <c r="J511" s="282"/>
      <c r="K511" s="282"/>
      <c r="L511" s="282"/>
      <c r="M511" s="282"/>
      <c r="N511" s="282"/>
      <c r="O511" s="282"/>
      <c r="P511" s="282"/>
      <c r="Q511" s="282"/>
      <c r="R511" s="282"/>
      <c r="S511" s="282"/>
      <c r="T511" s="282"/>
      <c r="U511" s="282"/>
      <c r="V511" s="282"/>
      <c r="W511" s="282"/>
      <c r="X511" s="282"/>
    </row>
    <row r="512" customFormat="false" ht="14.25" hidden="false" customHeight="false" outlineLevel="0" collapsed="false">
      <c r="A512" s="282"/>
      <c r="B512" s="282"/>
      <c r="C512" s="282"/>
      <c r="D512" s="282"/>
      <c r="E512" s="282"/>
      <c r="F512" s="282"/>
      <c r="G512" s="282"/>
      <c r="H512" s="282"/>
      <c r="I512" s="282"/>
      <c r="J512" s="282"/>
      <c r="K512" s="282"/>
      <c r="L512" s="282"/>
      <c r="M512" s="282"/>
      <c r="N512" s="282"/>
      <c r="O512" s="282"/>
      <c r="P512" s="282"/>
      <c r="Q512" s="282"/>
      <c r="R512" s="282"/>
      <c r="S512" s="282"/>
      <c r="T512" s="282"/>
      <c r="U512" s="282"/>
      <c r="V512" s="282"/>
      <c r="W512" s="282"/>
      <c r="X512" s="282"/>
    </row>
    <row r="513" customFormat="false" ht="14.25" hidden="false" customHeight="false" outlineLevel="0" collapsed="false">
      <c r="A513" s="282"/>
      <c r="B513" s="282"/>
      <c r="C513" s="282"/>
      <c r="D513" s="282"/>
      <c r="E513" s="282"/>
      <c r="F513" s="282"/>
      <c r="G513" s="282"/>
      <c r="H513" s="282"/>
      <c r="I513" s="282"/>
      <c r="J513" s="282"/>
      <c r="K513" s="282"/>
      <c r="L513" s="282"/>
      <c r="M513" s="282"/>
      <c r="N513" s="282"/>
      <c r="O513" s="282"/>
      <c r="P513" s="282"/>
      <c r="Q513" s="282"/>
      <c r="R513" s="282"/>
      <c r="S513" s="282"/>
      <c r="T513" s="282"/>
      <c r="U513" s="282"/>
      <c r="V513" s="282"/>
      <c r="W513" s="282"/>
      <c r="X513" s="282"/>
    </row>
    <row r="514" customFormat="false" ht="14.25" hidden="false" customHeight="false" outlineLevel="0" collapsed="false">
      <c r="A514" s="282"/>
      <c r="B514" s="282"/>
      <c r="C514" s="282"/>
      <c r="D514" s="282"/>
      <c r="E514" s="282"/>
      <c r="F514" s="282"/>
      <c r="G514" s="282"/>
      <c r="H514" s="282"/>
      <c r="I514" s="282"/>
      <c r="J514" s="282"/>
      <c r="K514" s="282"/>
      <c r="L514" s="282"/>
      <c r="M514" s="282"/>
      <c r="N514" s="282"/>
      <c r="O514" s="282"/>
      <c r="P514" s="282"/>
      <c r="Q514" s="282"/>
      <c r="R514" s="282"/>
      <c r="S514" s="282"/>
      <c r="T514" s="282"/>
      <c r="U514" s="282"/>
      <c r="V514" s="282"/>
      <c r="W514" s="282"/>
      <c r="X514" s="282"/>
    </row>
    <row r="515" customFormat="false" ht="14.25" hidden="false" customHeight="false" outlineLevel="0" collapsed="false">
      <c r="A515" s="282"/>
      <c r="B515" s="282"/>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row>
    <row r="516" customFormat="false" ht="14.25" hidden="false" customHeight="false" outlineLevel="0" collapsed="false">
      <c r="A516" s="282"/>
      <c r="B516" s="282"/>
      <c r="C516" s="282"/>
      <c r="D516" s="282"/>
      <c r="E516" s="282"/>
      <c r="F516" s="282"/>
      <c r="G516" s="282"/>
      <c r="H516" s="282"/>
      <c r="I516" s="282"/>
      <c r="J516" s="282"/>
      <c r="K516" s="282"/>
      <c r="L516" s="282"/>
      <c r="M516" s="282"/>
      <c r="N516" s="282"/>
      <c r="O516" s="282"/>
      <c r="P516" s="282"/>
      <c r="Q516" s="282"/>
      <c r="R516" s="282"/>
      <c r="S516" s="282"/>
      <c r="T516" s="282"/>
      <c r="U516" s="282"/>
      <c r="V516" s="282"/>
      <c r="W516" s="282"/>
      <c r="X516" s="282"/>
    </row>
    <row r="517" customFormat="false" ht="14.25" hidden="false" customHeight="false" outlineLevel="0" collapsed="false">
      <c r="A517" s="282"/>
      <c r="B517" s="282"/>
      <c r="C517" s="282"/>
      <c r="D517" s="282"/>
      <c r="E517" s="282"/>
      <c r="F517" s="282"/>
      <c r="G517" s="282"/>
      <c r="H517" s="282"/>
      <c r="I517" s="282"/>
      <c r="J517" s="282"/>
      <c r="K517" s="282"/>
      <c r="L517" s="282"/>
      <c r="M517" s="282"/>
      <c r="N517" s="282"/>
      <c r="O517" s="282"/>
      <c r="P517" s="282"/>
      <c r="Q517" s="282"/>
      <c r="R517" s="282"/>
      <c r="S517" s="282"/>
      <c r="T517" s="282"/>
      <c r="U517" s="282"/>
      <c r="V517" s="282"/>
      <c r="W517" s="282"/>
      <c r="X517" s="282"/>
    </row>
    <row r="518" customFormat="false" ht="14.25" hidden="false" customHeight="false" outlineLevel="0" collapsed="false">
      <c r="A518" s="282"/>
      <c r="B518" s="282"/>
      <c r="C518" s="282"/>
      <c r="D518" s="282"/>
      <c r="E518" s="282"/>
      <c r="F518" s="282"/>
      <c r="G518" s="282"/>
      <c r="H518" s="282"/>
      <c r="I518" s="282"/>
      <c r="J518" s="282"/>
      <c r="K518" s="282"/>
      <c r="L518" s="282"/>
      <c r="M518" s="282"/>
      <c r="N518" s="282"/>
      <c r="O518" s="282"/>
      <c r="P518" s="282"/>
      <c r="Q518" s="282"/>
      <c r="R518" s="282"/>
      <c r="S518" s="282"/>
      <c r="T518" s="282"/>
      <c r="U518" s="282"/>
      <c r="V518" s="282"/>
      <c r="W518" s="282"/>
      <c r="X518" s="282"/>
    </row>
    <row r="519" customFormat="false" ht="14.25" hidden="false" customHeight="false" outlineLevel="0" collapsed="false">
      <c r="A519" s="282"/>
      <c r="B519" s="282"/>
      <c r="C519" s="282"/>
      <c r="D519" s="282"/>
      <c r="E519" s="282"/>
      <c r="F519" s="282"/>
      <c r="G519" s="282"/>
      <c r="H519" s="282"/>
      <c r="I519" s="282"/>
      <c r="J519" s="282"/>
      <c r="K519" s="282"/>
      <c r="L519" s="282"/>
      <c r="M519" s="282"/>
      <c r="N519" s="282"/>
      <c r="O519" s="282"/>
      <c r="P519" s="282"/>
      <c r="Q519" s="282"/>
      <c r="R519" s="282"/>
      <c r="S519" s="282"/>
      <c r="T519" s="282"/>
      <c r="U519" s="282"/>
      <c r="V519" s="282"/>
      <c r="W519" s="282"/>
      <c r="X519" s="282"/>
    </row>
    <row r="520" customFormat="false" ht="14.25" hidden="false" customHeight="false" outlineLevel="0" collapsed="false">
      <c r="A520" s="282"/>
      <c r="B520" s="282"/>
      <c r="C520" s="282"/>
      <c r="D520" s="282"/>
      <c r="E520" s="282"/>
      <c r="F520" s="282"/>
      <c r="G520" s="282"/>
      <c r="H520" s="282"/>
      <c r="I520" s="282"/>
      <c r="J520" s="282"/>
      <c r="K520" s="282"/>
      <c r="L520" s="282"/>
      <c r="M520" s="282"/>
      <c r="N520" s="282"/>
      <c r="O520" s="282"/>
      <c r="P520" s="282"/>
      <c r="Q520" s="282"/>
      <c r="R520" s="282"/>
      <c r="S520" s="282"/>
      <c r="T520" s="282"/>
      <c r="U520" s="282"/>
      <c r="V520" s="282"/>
      <c r="W520" s="282"/>
      <c r="X520" s="282"/>
    </row>
    <row r="521" customFormat="false" ht="14.25" hidden="false" customHeight="false" outlineLevel="0" collapsed="false">
      <c r="A521" s="282"/>
      <c r="B521" s="282"/>
      <c r="C521" s="282"/>
      <c r="D521" s="282"/>
      <c r="E521" s="282"/>
      <c r="F521" s="282"/>
      <c r="G521" s="282"/>
      <c r="H521" s="282"/>
      <c r="I521" s="282"/>
      <c r="J521" s="282"/>
      <c r="K521" s="282"/>
      <c r="L521" s="282"/>
      <c r="M521" s="282"/>
      <c r="N521" s="282"/>
      <c r="O521" s="282"/>
      <c r="P521" s="282"/>
      <c r="Q521" s="282"/>
      <c r="R521" s="282"/>
      <c r="S521" s="282"/>
      <c r="T521" s="282"/>
      <c r="U521" s="282"/>
      <c r="V521" s="282"/>
      <c r="W521" s="282"/>
      <c r="X521" s="282"/>
    </row>
    <row r="522" customFormat="false" ht="14.25" hidden="false" customHeight="false" outlineLevel="0" collapsed="false">
      <c r="A522" s="282"/>
      <c r="B522" s="282"/>
      <c r="C522" s="282"/>
      <c r="D522" s="282"/>
      <c r="E522" s="282"/>
      <c r="F522" s="282"/>
      <c r="G522" s="282"/>
      <c r="H522" s="282"/>
      <c r="I522" s="282"/>
      <c r="J522" s="282"/>
      <c r="K522" s="282"/>
      <c r="L522" s="282"/>
      <c r="M522" s="282"/>
      <c r="N522" s="282"/>
      <c r="O522" s="282"/>
      <c r="P522" s="282"/>
      <c r="Q522" s="282"/>
      <c r="R522" s="282"/>
      <c r="S522" s="282"/>
      <c r="T522" s="282"/>
      <c r="U522" s="282"/>
      <c r="V522" s="282"/>
      <c r="W522" s="282"/>
      <c r="X522" s="282"/>
    </row>
    <row r="523" customFormat="false" ht="14.25" hidden="false" customHeight="false" outlineLevel="0" collapsed="false">
      <c r="A523" s="282"/>
      <c r="B523" s="282"/>
      <c r="C523" s="282"/>
      <c r="D523" s="282"/>
      <c r="E523" s="282"/>
      <c r="F523" s="282"/>
      <c r="G523" s="282"/>
      <c r="H523" s="282"/>
      <c r="I523" s="282"/>
      <c r="J523" s="282"/>
      <c r="K523" s="282"/>
      <c r="L523" s="282"/>
      <c r="M523" s="282"/>
      <c r="N523" s="282"/>
      <c r="O523" s="282"/>
      <c r="P523" s="282"/>
      <c r="Q523" s="282"/>
      <c r="R523" s="282"/>
      <c r="S523" s="282"/>
      <c r="T523" s="282"/>
      <c r="U523" s="282"/>
      <c r="V523" s="282"/>
      <c r="W523" s="282"/>
      <c r="X523" s="282"/>
    </row>
    <row r="524" customFormat="false" ht="14.25" hidden="false" customHeight="false" outlineLevel="0" collapsed="false">
      <c r="A524" s="282"/>
      <c r="B524" s="282"/>
      <c r="C524" s="282"/>
      <c r="D524" s="282"/>
      <c r="E524" s="282"/>
      <c r="F524" s="282"/>
      <c r="G524" s="282"/>
      <c r="H524" s="282"/>
      <c r="I524" s="282"/>
      <c r="J524" s="282"/>
      <c r="K524" s="282"/>
      <c r="L524" s="282"/>
      <c r="M524" s="282"/>
      <c r="N524" s="282"/>
      <c r="O524" s="282"/>
      <c r="P524" s="282"/>
      <c r="Q524" s="282"/>
      <c r="R524" s="282"/>
      <c r="S524" s="282"/>
      <c r="T524" s="282"/>
      <c r="U524" s="282"/>
      <c r="V524" s="282"/>
      <c r="W524" s="282"/>
      <c r="X524" s="282"/>
    </row>
    <row r="525" customFormat="false" ht="14.25" hidden="false" customHeight="false" outlineLevel="0" collapsed="false">
      <c r="A525" s="282"/>
      <c r="B525" s="282"/>
      <c r="C525" s="282"/>
      <c r="D525" s="282"/>
      <c r="E525" s="282"/>
      <c r="F525" s="282"/>
      <c r="G525" s="282"/>
      <c r="H525" s="282"/>
      <c r="I525" s="282"/>
      <c r="J525" s="282"/>
      <c r="K525" s="282"/>
      <c r="L525" s="282"/>
      <c r="M525" s="282"/>
      <c r="N525" s="282"/>
      <c r="O525" s="282"/>
      <c r="P525" s="282"/>
      <c r="Q525" s="282"/>
      <c r="R525" s="282"/>
      <c r="S525" s="282"/>
      <c r="T525" s="282"/>
      <c r="U525" s="282"/>
      <c r="V525" s="282"/>
      <c r="W525" s="282"/>
      <c r="X525" s="282"/>
    </row>
    <row r="526" customFormat="false" ht="14.25" hidden="false" customHeight="false" outlineLevel="0" collapsed="false">
      <c r="A526" s="282"/>
      <c r="B526" s="282"/>
      <c r="C526" s="282"/>
      <c r="D526" s="282"/>
      <c r="E526" s="282"/>
      <c r="F526" s="282"/>
      <c r="G526" s="282"/>
      <c r="H526" s="282"/>
      <c r="I526" s="282"/>
      <c r="J526" s="282"/>
      <c r="K526" s="282"/>
      <c r="L526" s="282"/>
      <c r="M526" s="282"/>
      <c r="N526" s="282"/>
      <c r="O526" s="282"/>
      <c r="P526" s="282"/>
      <c r="Q526" s="282"/>
      <c r="R526" s="282"/>
      <c r="S526" s="282"/>
      <c r="T526" s="282"/>
      <c r="U526" s="282"/>
      <c r="V526" s="282"/>
      <c r="W526" s="282"/>
      <c r="X526" s="282"/>
    </row>
    <row r="527" customFormat="false" ht="14.25" hidden="false" customHeight="false" outlineLevel="0" collapsed="false">
      <c r="A527" s="282"/>
      <c r="B527" s="282"/>
      <c r="C527" s="282"/>
      <c r="D527" s="282"/>
      <c r="E527" s="282"/>
      <c r="F527" s="282"/>
      <c r="G527" s="282"/>
      <c r="H527" s="282"/>
      <c r="I527" s="282"/>
      <c r="J527" s="282"/>
      <c r="K527" s="282"/>
      <c r="L527" s="282"/>
      <c r="M527" s="282"/>
      <c r="N527" s="282"/>
      <c r="O527" s="282"/>
      <c r="P527" s="282"/>
      <c r="Q527" s="282"/>
      <c r="R527" s="282"/>
      <c r="S527" s="282"/>
      <c r="T527" s="282"/>
      <c r="U527" s="282"/>
      <c r="V527" s="282"/>
      <c r="W527" s="282"/>
      <c r="X527" s="282"/>
    </row>
    <row r="528" customFormat="false" ht="14.25" hidden="false" customHeight="false" outlineLevel="0" collapsed="false">
      <c r="A528" s="282"/>
      <c r="B528" s="282"/>
      <c r="C528" s="282"/>
      <c r="D528" s="282"/>
      <c r="E528" s="282"/>
      <c r="F528" s="282"/>
      <c r="G528" s="282"/>
      <c r="H528" s="282"/>
      <c r="I528" s="282"/>
      <c r="J528" s="282"/>
      <c r="K528" s="282"/>
      <c r="L528" s="282"/>
      <c r="M528" s="282"/>
      <c r="N528" s="282"/>
      <c r="O528" s="282"/>
      <c r="P528" s="282"/>
      <c r="Q528" s="282"/>
      <c r="R528" s="282"/>
      <c r="S528" s="282"/>
      <c r="T528" s="282"/>
      <c r="U528" s="282"/>
      <c r="V528" s="282"/>
      <c r="W528" s="282"/>
      <c r="X528" s="282"/>
    </row>
    <row r="529" customFormat="false" ht="14.25" hidden="false" customHeight="false" outlineLevel="0" collapsed="false">
      <c r="A529" s="282"/>
      <c r="B529" s="282"/>
      <c r="C529" s="282"/>
      <c r="D529" s="282"/>
      <c r="E529" s="282"/>
      <c r="F529" s="282"/>
      <c r="G529" s="282"/>
      <c r="H529" s="282"/>
      <c r="I529" s="282"/>
      <c r="J529" s="282"/>
      <c r="K529" s="282"/>
      <c r="L529" s="282"/>
      <c r="M529" s="282"/>
      <c r="N529" s="282"/>
      <c r="O529" s="282"/>
      <c r="P529" s="282"/>
      <c r="Q529" s="282"/>
      <c r="R529" s="282"/>
      <c r="S529" s="282"/>
      <c r="T529" s="282"/>
      <c r="U529" s="282"/>
      <c r="V529" s="282"/>
      <c r="W529" s="282"/>
      <c r="X529" s="282"/>
    </row>
    <row r="530" customFormat="false" ht="14.25" hidden="false" customHeight="false" outlineLevel="0" collapsed="false">
      <c r="A530" s="282"/>
      <c r="B530" s="282"/>
      <c r="C530" s="282"/>
      <c r="D530" s="282"/>
      <c r="E530" s="282"/>
      <c r="F530" s="282"/>
      <c r="G530" s="282"/>
      <c r="H530" s="282"/>
      <c r="I530" s="282"/>
      <c r="J530" s="282"/>
      <c r="K530" s="282"/>
      <c r="L530" s="282"/>
      <c r="M530" s="282"/>
      <c r="N530" s="282"/>
      <c r="O530" s="282"/>
      <c r="P530" s="282"/>
      <c r="Q530" s="282"/>
      <c r="R530" s="282"/>
      <c r="S530" s="282"/>
      <c r="T530" s="282"/>
      <c r="U530" s="282"/>
      <c r="V530" s="282"/>
      <c r="W530" s="282"/>
      <c r="X530" s="282"/>
    </row>
    <row r="531" customFormat="false" ht="14.25" hidden="false" customHeight="false" outlineLevel="0" collapsed="false">
      <c r="A531" s="282"/>
      <c r="B531" s="282"/>
      <c r="C531" s="282"/>
      <c r="D531" s="282"/>
      <c r="E531" s="282"/>
      <c r="F531" s="282"/>
      <c r="G531" s="282"/>
      <c r="H531" s="282"/>
      <c r="I531" s="282"/>
      <c r="J531" s="282"/>
      <c r="K531" s="282"/>
      <c r="L531" s="282"/>
      <c r="M531" s="282"/>
      <c r="N531" s="282"/>
      <c r="O531" s="282"/>
      <c r="P531" s="282"/>
      <c r="Q531" s="282"/>
      <c r="R531" s="282"/>
      <c r="S531" s="282"/>
      <c r="T531" s="282"/>
      <c r="U531" s="282"/>
      <c r="V531" s="282"/>
      <c r="W531" s="282"/>
      <c r="X531" s="282"/>
    </row>
    <row r="532" customFormat="false" ht="14.25" hidden="false" customHeight="false" outlineLevel="0" collapsed="false">
      <c r="A532" s="282"/>
      <c r="B532" s="282"/>
      <c r="C532" s="282"/>
      <c r="D532" s="282"/>
      <c r="E532" s="282"/>
      <c r="F532" s="282"/>
      <c r="G532" s="282"/>
      <c r="H532" s="282"/>
      <c r="I532" s="282"/>
      <c r="J532" s="282"/>
      <c r="K532" s="282"/>
      <c r="L532" s="282"/>
      <c r="M532" s="282"/>
      <c r="N532" s="282"/>
      <c r="O532" s="282"/>
      <c r="P532" s="282"/>
      <c r="Q532" s="282"/>
      <c r="R532" s="282"/>
      <c r="S532" s="282"/>
      <c r="T532" s="282"/>
      <c r="U532" s="282"/>
      <c r="V532" s="282"/>
      <c r="W532" s="282"/>
      <c r="X532" s="282"/>
    </row>
    <row r="533" customFormat="false" ht="14.25" hidden="false" customHeight="false" outlineLevel="0" collapsed="false">
      <c r="A533" s="282"/>
      <c r="B533" s="282"/>
      <c r="C533" s="282"/>
      <c r="D533" s="282"/>
      <c r="E533" s="282"/>
      <c r="F533" s="282"/>
      <c r="G533" s="282"/>
      <c r="H533" s="282"/>
      <c r="I533" s="282"/>
      <c r="J533" s="282"/>
      <c r="K533" s="282"/>
      <c r="L533" s="282"/>
      <c r="M533" s="282"/>
      <c r="N533" s="282"/>
      <c r="O533" s="282"/>
      <c r="P533" s="282"/>
      <c r="Q533" s="282"/>
      <c r="R533" s="282"/>
      <c r="S533" s="282"/>
      <c r="T533" s="282"/>
      <c r="U533" s="282"/>
      <c r="V533" s="282"/>
      <c r="W533" s="282"/>
      <c r="X533" s="282"/>
    </row>
    <row r="534" customFormat="false" ht="14.25" hidden="false" customHeight="false" outlineLevel="0" collapsed="false">
      <c r="A534" s="282"/>
      <c r="B534" s="282"/>
      <c r="C534" s="282"/>
      <c r="D534" s="282"/>
      <c r="E534" s="282"/>
      <c r="F534" s="282"/>
      <c r="G534" s="282"/>
      <c r="H534" s="282"/>
      <c r="I534" s="282"/>
      <c r="J534" s="282"/>
      <c r="K534" s="282"/>
      <c r="L534" s="282"/>
      <c r="M534" s="282"/>
      <c r="N534" s="282"/>
      <c r="O534" s="282"/>
      <c r="P534" s="282"/>
      <c r="Q534" s="282"/>
      <c r="R534" s="282"/>
      <c r="S534" s="282"/>
      <c r="T534" s="282"/>
      <c r="U534" s="282"/>
      <c r="V534" s="282"/>
      <c r="W534" s="282"/>
      <c r="X534" s="282"/>
    </row>
    <row r="535" customFormat="false" ht="14.25" hidden="false" customHeight="false" outlineLevel="0" collapsed="false">
      <c r="A535" s="282"/>
      <c r="B535" s="282"/>
      <c r="C535" s="282"/>
      <c r="D535" s="282"/>
      <c r="E535" s="282"/>
      <c r="F535" s="282"/>
      <c r="G535" s="282"/>
      <c r="H535" s="282"/>
      <c r="I535" s="282"/>
      <c r="J535" s="282"/>
      <c r="K535" s="282"/>
      <c r="L535" s="282"/>
      <c r="M535" s="282"/>
      <c r="N535" s="282"/>
      <c r="O535" s="282"/>
      <c r="P535" s="282"/>
      <c r="Q535" s="282"/>
      <c r="R535" s="282"/>
      <c r="S535" s="282"/>
      <c r="T535" s="282"/>
      <c r="U535" s="282"/>
      <c r="V535" s="282"/>
      <c r="W535" s="282"/>
      <c r="X535" s="282"/>
    </row>
    <row r="536" customFormat="false" ht="14.25" hidden="false" customHeight="false" outlineLevel="0" collapsed="false">
      <c r="A536" s="282"/>
      <c r="B536" s="282"/>
      <c r="C536" s="282"/>
      <c r="D536" s="282"/>
      <c r="E536" s="282"/>
      <c r="F536" s="282"/>
      <c r="G536" s="282"/>
      <c r="H536" s="282"/>
      <c r="I536" s="282"/>
      <c r="J536" s="282"/>
      <c r="K536" s="282"/>
      <c r="L536" s="282"/>
      <c r="M536" s="282"/>
      <c r="N536" s="282"/>
      <c r="O536" s="282"/>
      <c r="P536" s="282"/>
      <c r="Q536" s="282"/>
      <c r="R536" s="282"/>
      <c r="S536" s="282"/>
      <c r="T536" s="282"/>
      <c r="U536" s="282"/>
      <c r="V536" s="282"/>
      <c r="W536" s="282"/>
      <c r="X536" s="282"/>
    </row>
    <row r="537" customFormat="false" ht="14.25" hidden="false" customHeight="false" outlineLevel="0" collapsed="false">
      <c r="A537" s="282"/>
      <c r="B537" s="282"/>
      <c r="C537" s="282"/>
      <c r="D537" s="282"/>
      <c r="E537" s="282"/>
      <c r="F537" s="282"/>
      <c r="G537" s="282"/>
      <c r="H537" s="282"/>
      <c r="I537" s="282"/>
      <c r="J537" s="282"/>
      <c r="K537" s="282"/>
      <c r="L537" s="282"/>
      <c r="M537" s="282"/>
      <c r="N537" s="282"/>
      <c r="O537" s="282"/>
      <c r="P537" s="282"/>
      <c r="Q537" s="282"/>
      <c r="R537" s="282"/>
      <c r="S537" s="282"/>
      <c r="T537" s="282"/>
      <c r="U537" s="282"/>
      <c r="V537" s="282"/>
      <c r="W537" s="282"/>
      <c r="X537" s="282"/>
    </row>
    <row r="538" customFormat="false" ht="14.25" hidden="false" customHeight="false" outlineLevel="0" collapsed="false">
      <c r="A538" s="282"/>
      <c r="B538" s="282"/>
      <c r="C538" s="282"/>
      <c r="D538" s="282"/>
      <c r="E538" s="282"/>
      <c r="F538" s="282"/>
      <c r="G538" s="282"/>
      <c r="H538" s="282"/>
      <c r="I538" s="282"/>
      <c r="J538" s="282"/>
      <c r="K538" s="282"/>
      <c r="L538" s="282"/>
      <c r="M538" s="282"/>
      <c r="N538" s="282"/>
      <c r="O538" s="282"/>
      <c r="P538" s="282"/>
      <c r="Q538" s="282"/>
      <c r="R538" s="282"/>
      <c r="S538" s="282"/>
      <c r="T538" s="282"/>
      <c r="U538" s="282"/>
      <c r="V538" s="282"/>
      <c r="W538" s="282"/>
      <c r="X538" s="282"/>
    </row>
    <row r="539" customFormat="false" ht="14.25" hidden="false" customHeight="false" outlineLevel="0" collapsed="false">
      <c r="A539" s="282"/>
      <c r="B539" s="282"/>
      <c r="C539" s="282"/>
      <c r="D539" s="282"/>
      <c r="E539" s="282"/>
      <c r="F539" s="282"/>
      <c r="G539" s="282"/>
      <c r="H539" s="282"/>
      <c r="I539" s="282"/>
      <c r="J539" s="282"/>
      <c r="K539" s="282"/>
      <c r="L539" s="282"/>
      <c r="M539" s="282"/>
      <c r="N539" s="282"/>
      <c r="O539" s="282"/>
      <c r="P539" s="282"/>
      <c r="Q539" s="282"/>
      <c r="R539" s="282"/>
      <c r="S539" s="282"/>
      <c r="T539" s="282"/>
      <c r="U539" s="282"/>
      <c r="V539" s="282"/>
      <c r="W539" s="282"/>
      <c r="X539" s="282"/>
    </row>
    <row r="540" customFormat="false" ht="14.25" hidden="false" customHeight="false" outlineLevel="0" collapsed="false">
      <c r="A540" s="282"/>
      <c r="B540" s="282"/>
      <c r="C540" s="282"/>
      <c r="D540" s="282"/>
      <c r="E540" s="282"/>
      <c r="F540" s="282"/>
      <c r="G540" s="282"/>
      <c r="H540" s="282"/>
      <c r="I540" s="282"/>
      <c r="J540" s="282"/>
      <c r="K540" s="282"/>
      <c r="L540" s="282"/>
      <c r="M540" s="282"/>
      <c r="N540" s="282"/>
      <c r="O540" s="282"/>
      <c r="P540" s="282"/>
      <c r="Q540" s="282"/>
      <c r="R540" s="282"/>
      <c r="S540" s="282"/>
      <c r="T540" s="282"/>
      <c r="U540" s="282"/>
      <c r="V540" s="282"/>
      <c r="W540" s="282"/>
      <c r="X540" s="282"/>
    </row>
    <row r="541" customFormat="false" ht="14.25" hidden="false" customHeight="false" outlineLevel="0" collapsed="false">
      <c r="A541" s="282"/>
      <c r="B541" s="282"/>
      <c r="C541" s="282"/>
      <c r="D541" s="282"/>
      <c r="E541" s="282"/>
      <c r="F541" s="282"/>
      <c r="G541" s="282"/>
      <c r="H541" s="282"/>
      <c r="I541" s="282"/>
      <c r="J541" s="282"/>
      <c r="K541" s="282"/>
      <c r="L541" s="282"/>
      <c r="M541" s="282"/>
      <c r="N541" s="282"/>
      <c r="O541" s="282"/>
      <c r="P541" s="282"/>
      <c r="Q541" s="282"/>
      <c r="R541" s="282"/>
      <c r="S541" s="282"/>
      <c r="T541" s="282"/>
      <c r="U541" s="282"/>
      <c r="V541" s="282"/>
      <c r="W541" s="282"/>
      <c r="X541" s="282"/>
    </row>
    <row r="542" customFormat="false" ht="14.25" hidden="false" customHeight="false" outlineLevel="0" collapsed="false">
      <c r="A542" s="282"/>
      <c r="B542" s="282"/>
      <c r="C542" s="282"/>
      <c r="D542" s="282"/>
      <c r="E542" s="282"/>
      <c r="F542" s="282"/>
      <c r="G542" s="282"/>
      <c r="H542" s="282"/>
      <c r="I542" s="282"/>
      <c r="J542" s="282"/>
      <c r="K542" s="282"/>
      <c r="L542" s="282"/>
      <c r="M542" s="282"/>
      <c r="N542" s="282"/>
      <c r="O542" s="282"/>
      <c r="P542" s="282"/>
      <c r="Q542" s="282"/>
      <c r="R542" s="282"/>
      <c r="S542" s="282"/>
      <c r="T542" s="282"/>
      <c r="U542" s="282"/>
      <c r="V542" s="282"/>
      <c r="W542" s="282"/>
      <c r="X542" s="282"/>
    </row>
    <row r="543" customFormat="false" ht="14.25" hidden="false" customHeight="false" outlineLevel="0" collapsed="false">
      <c r="A543" s="282"/>
      <c r="B543" s="282"/>
      <c r="C543" s="282"/>
      <c r="D543" s="282"/>
      <c r="E543" s="282"/>
      <c r="F543" s="282"/>
      <c r="G543" s="282"/>
      <c r="H543" s="282"/>
      <c r="I543" s="282"/>
      <c r="J543" s="282"/>
      <c r="K543" s="282"/>
      <c r="L543" s="282"/>
      <c r="M543" s="282"/>
      <c r="N543" s="282"/>
      <c r="O543" s="282"/>
      <c r="P543" s="282"/>
      <c r="Q543" s="282"/>
      <c r="R543" s="282"/>
      <c r="S543" s="282"/>
      <c r="T543" s="282"/>
      <c r="U543" s="282"/>
      <c r="V543" s="282"/>
      <c r="W543" s="282"/>
      <c r="X543" s="282"/>
    </row>
    <row r="544" customFormat="false" ht="14.25" hidden="false" customHeight="false" outlineLevel="0" collapsed="false">
      <c r="A544" s="282"/>
      <c r="B544" s="282"/>
      <c r="C544" s="282"/>
      <c r="D544" s="282"/>
      <c r="E544" s="282"/>
      <c r="F544" s="282"/>
      <c r="G544" s="282"/>
      <c r="H544" s="282"/>
      <c r="I544" s="282"/>
      <c r="J544" s="282"/>
      <c r="K544" s="282"/>
      <c r="L544" s="282"/>
      <c r="M544" s="282"/>
      <c r="N544" s="282"/>
      <c r="O544" s="282"/>
      <c r="P544" s="282"/>
      <c r="Q544" s="282"/>
      <c r="R544" s="282"/>
      <c r="S544" s="282"/>
      <c r="T544" s="282"/>
      <c r="U544" s="282"/>
      <c r="V544" s="282"/>
      <c r="W544" s="282"/>
      <c r="X544" s="282"/>
    </row>
    <row r="545" customFormat="false" ht="14.25" hidden="false" customHeight="false" outlineLevel="0" collapsed="false">
      <c r="A545" s="282"/>
      <c r="B545" s="282"/>
      <c r="C545" s="282"/>
      <c r="D545" s="282"/>
      <c r="E545" s="282"/>
      <c r="F545" s="282"/>
      <c r="G545" s="282"/>
      <c r="H545" s="282"/>
      <c r="I545" s="282"/>
      <c r="J545" s="282"/>
      <c r="K545" s="282"/>
      <c r="L545" s="282"/>
      <c r="M545" s="282"/>
      <c r="N545" s="282"/>
      <c r="O545" s="282"/>
      <c r="P545" s="282"/>
      <c r="Q545" s="282"/>
      <c r="R545" s="282"/>
      <c r="S545" s="282"/>
      <c r="T545" s="282"/>
      <c r="U545" s="282"/>
      <c r="V545" s="282"/>
      <c r="W545" s="282"/>
      <c r="X545" s="282"/>
    </row>
    <row r="546" customFormat="false" ht="14.25" hidden="false" customHeight="false" outlineLevel="0" collapsed="false">
      <c r="A546" s="282"/>
      <c r="B546" s="282"/>
      <c r="C546" s="282"/>
      <c r="D546" s="282"/>
      <c r="E546" s="282"/>
      <c r="F546" s="282"/>
      <c r="G546" s="282"/>
      <c r="H546" s="282"/>
      <c r="I546" s="282"/>
      <c r="J546" s="282"/>
      <c r="K546" s="282"/>
      <c r="L546" s="282"/>
      <c r="M546" s="282"/>
      <c r="N546" s="282"/>
      <c r="O546" s="282"/>
      <c r="P546" s="282"/>
      <c r="Q546" s="282"/>
      <c r="R546" s="282"/>
      <c r="S546" s="282"/>
      <c r="T546" s="282"/>
      <c r="U546" s="282"/>
      <c r="V546" s="282"/>
      <c r="W546" s="282"/>
      <c r="X546" s="282"/>
    </row>
    <row r="547" customFormat="false" ht="14.25" hidden="false" customHeight="false" outlineLevel="0" collapsed="false">
      <c r="A547" s="282"/>
      <c r="B547" s="282"/>
      <c r="C547" s="282"/>
      <c r="D547" s="282"/>
      <c r="E547" s="282"/>
      <c r="F547" s="282"/>
      <c r="G547" s="282"/>
      <c r="H547" s="282"/>
      <c r="I547" s="282"/>
      <c r="J547" s="282"/>
      <c r="K547" s="282"/>
      <c r="L547" s="282"/>
      <c r="M547" s="282"/>
      <c r="N547" s="282"/>
      <c r="O547" s="282"/>
      <c r="P547" s="282"/>
      <c r="Q547" s="282"/>
      <c r="R547" s="282"/>
      <c r="S547" s="282"/>
      <c r="T547" s="282"/>
      <c r="U547" s="282"/>
      <c r="V547" s="282"/>
      <c r="W547" s="282"/>
      <c r="X547" s="282"/>
    </row>
    <row r="548" customFormat="false" ht="14.25" hidden="false" customHeight="false" outlineLevel="0" collapsed="false">
      <c r="A548" s="282"/>
      <c r="B548" s="282"/>
      <c r="C548" s="282"/>
      <c r="D548" s="282"/>
      <c r="E548" s="282"/>
      <c r="F548" s="282"/>
      <c r="G548" s="282"/>
      <c r="H548" s="282"/>
      <c r="I548" s="282"/>
      <c r="J548" s="282"/>
      <c r="K548" s="282"/>
      <c r="L548" s="282"/>
      <c r="M548" s="282"/>
      <c r="N548" s="282"/>
      <c r="O548" s="282"/>
      <c r="P548" s="282"/>
      <c r="Q548" s="282"/>
      <c r="R548" s="282"/>
      <c r="S548" s="282"/>
      <c r="T548" s="282"/>
      <c r="U548" s="282"/>
      <c r="V548" s="282"/>
      <c r="W548" s="282"/>
      <c r="X548" s="282"/>
    </row>
    <row r="549" customFormat="false" ht="14.25" hidden="false" customHeight="false" outlineLevel="0" collapsed="false">
      <c r="A549" s="282"/>
      <c r="B549" s="282"/>
      <c r="C549" s="282"/>
      <c r="D549" s="282"/>
      <c r="E549" s="282"/>
      <c r="F549" s="282"/>
      <c r="G549" s="282"/>
      <c r="H549" s="282"/>
      <c r="I549" s="282"/>
      <c r="J549" s="282"/>
      <c r="K549" s="282"/>
      <c r="L549" s="282"/>
      <c r="M549" s="282"/>
      <c r="N549" s="282"/>
      <c r="O549" s="282"/>
      <c r="P549" s="282"/>
      <c r="Q549" s="282"/>
      <c r="R549" s="282"/>
      <c r="S549" s="282"/>
      <c r="T549" s="282"/>
      <c r="U549" s="282"/>
      <c r="V549" s="282"/>
      <c r="W549" s="282"/>
      <c r="X549" s="282"/>
    </row>
    <row r="550" customFormat="false" ht="14.25" hidden="false" customHeight="false" outlineLevel="0" collapsed="false">
      <c r="A550" s="282"/>
      <c r="B550" s="282"/>
      <c r="C550" s="282"/>
      <c r="D550" s="282"/>
      <c r="E550" s="282"/>
      <c r="F550" s="282"/>
      <c r="G550" s="282"/>
      <c r="H550" s="282"/>
      <c r="I550" s="282"/>
      <c r="J550" s="282"/>
      <c r="K550" s="282"/>
      <c r="L550" s="282"/>
      <c r="M550" s="282"/>
      <c r="N550" s="282"/>
      <c r="O550" s="282"/>
      <c r="P550" s="282"/>
      <c r="Q550" s="282"/>
      <c r="R550" s="282"/>
      <c r="S550" s="282"/>
      <c r="T550" s="282"/>
      <c r="U550" s="282"/>
      <c r="V550" s="282"/>
      <c r="W550" s="282"/>
      <c r="X550" s="282"/>
    </row>
    <row r="551" customFormat="false" ht="14.25" hidden="false" customHeight="false" outlineLevel="0" collapsed="false">
      <c r="A551" s="282"/>
      <c r="B551" s="282"/>
      <c r="C551" s="282"/>
      <c r="D551" s="282"/>
      <c r="E551" s="282"/>
      <c r="F551" s="282"/>
      <c r="G551" s="282"/>
      <c r="H551" s="282"/>
      <c r="I551" s="282"/>
      <c r="J551" s="282"/>
      <c r="K551" s="282"/>
      <c r="L551" s="282"/>
      <c r="M551" s="282"/>
      <c r="N551" s="282"/>
      <c r="O551" s="282"/>
      <c r="P551" s="282"/>
      <c r="Q551" s="282"/>
      <c r="R551" s="282"/>
      <c r="S551" s="282"/>
      <c r="T551" s="282"/>
      <c r="U551" s="282"/>
      <c r="V551" s="282"/>
      <c r="W551" s="282"/>
      <c r="X551" s="282"/>
    </row>
    <row r="552" customFormat="false" ht="14.25" hidden="false" customHeight="false" outlineLevel="0" collapsed="false">
      <c r="A552" s="282"/>
      <c r="B552" s="282"/>
      <c r="C552" s="282"/>
      <c r="D552" s="282"/>
      <c r="E552" s="282"/>
      <c r="F552" s="282"/>
      <c r="G552" s="282"/>
      <c r="H552" s="282"/>
      <c r="I552" s="282"/>
      <c r="J552" s="282"/>
      <c r="K552" s="282"/>
      <c r="L552" s="282"/>
      <c r="M552" s="282"/>
      <c r="N552" s="282"/>
      <c r="O552" s="282"/>
      <c r="P552" s="282"/>
      <c r="Q552" s="282"/>
      <c r="R552" s="282"/>
      <c r="S552" s="282"/>
      <c r="T552" s="282"/>
      <c r="U552" s="282"/>
      <c r="V552" s="282"/>
      <c r="W552" s="282"/>
      <c r="X552" s="282"/>
    </row>
    <row r="553" customFormat="false" ht="14.25" hidden="false" customHeight="false" outlineLevel="0" collapsed="false">
      <c r="A553" s="282"/>
      <c r="B553" s="282"/>
      <c r="C553" s="282"/>
      <c r="D553" s="282"/>
      <c r="E553" s="282"/>
      <c r="F553" s="282"/>
      <c r="G553" s="282"/>
      <c r="H553" s="282"/>
      <c r="I553" s="282"/>
      <c r="J553" s="282"/>
      <c r="K553" s="282"/>
      <c r="L553" s="282"/>
      <c r="M553" s="282"/>
      <c r="N553" s="282"/>
      <c r="O553" s="282"/>
      <c r="P553" s="282"/>
      <c r="Q553" s="282"/>
      <c r="R553" s="282"/>
      <c r="S553" s="282"/>
      <c r="T553" s="282"/>
      <c r="U553" s="282"/>
      <c r="V553" s="282"/>
      <c r="W553" s="282"/>
      <c r="X553" s="282"/>
    </row>
    <row r="554" customFormat="false" ht="14.25" hidden="false" customHeight="false" outlineLevel="0" collapsed="false">
      <c r="A554" s="282"/>
      <c r="B554" s="282"/>
      <c r="C554" s="282"/>
      <c r="D554" s="282"/>
      <c r="E554" s="282"/>
      <c r="F554" s="282"/>
      <c r="G554" s="282"/>
      <c r="H554" s="282"/>
      <c r="I554" s="282"/>
      <c r="J554" s="282"/>
      <c r="K554" s="282"/>
      <c r="L554" s="282"/>
      <c r="M554" s="282"/>
      <c r="N554" s="282"/>
      <c r="O554" s="282"/>
      <c r="P554" s="282"/>
      <c r="Q554" s="282"/>
      <c r="R554" s="282"/>
      <c r="S554" s="282"/>
      <c r="T554" s="282"/>
      <c r="U554" s="282"/>
      <c r="V554" s="282"/>
      <c r="W554" s="282"/>
      <c r="X554" s="282"/>
    </row>
    <row r="555" customFormat="false" ht="14.25" hidden="false" customHeight="false" outlineLevel="0" collapsed="false">
      <c r="A555" s="282"/>
      <c r="B555" s="282"/>
      <c r="C555" s="282"/>
      <c r="D555" s="282"/>
      <c r="E555" s="282"/>
      <c r="F555" s="282"/>
      <c r="G555" s="282"/>
      <c r="H555" s="282"/>
      <c r="I555" s="282"/>
      <c r="J555" s="282"/>
      <c r="K555" s="282"/>
      <c r="L555" s="282"/>
      <c r="M555" s="282"/>
      <c r="N555" s="282"/>
      <c r="O555" s="282"/>
      <c r="P555" s="282"/>
      <c r="Q555" s="282"/>
      <c r="R555" s="282"/>
      <c r="S555" s="282"/>
      <c r="T555" s="282"/>
      <c r="U555" s="282"/>
      <c r="V555" s="282"/>
      <c r="W555" s="282"/>
      <c r="X555" s="282"/>
    </row>
    <row r="556" customFormat="false" ht="14.25" hidden="false" customHeight="false" outlineLevel="0" collapsed="false">
      <c r="A556" s="282"/>
      <c r="B556" s="282"/>
      <c r="C556" s="282"/>
      <c r="D556" s="282"/>
      <c r="E556" s="282"/>
      <c r="F556" s="282"/>
      <c r="G556" s="282"/>
      <c r="H556" s="282"/>
      <c r="I556" s="282"/>
      <c r="J556" s="282"/>
      <c r="K556" s="282"/>
      <c r="L556" s="282"/>
      <c r="M556" s="282"/>
      <c r="N556" s="282"/>
      <c r="O556" s="282"/>
      <c r="P556" s="282"/>
      <c r="Q556" s="282"/>
      <c r="R556" s="282"/>
      <c r="S556" s="282"/>
      <c r="T556" s="282"/>
      <c r="U556" s="282"/>
      <c r="V556" s="282"/>
      <c r="W556" s="282"/>
      <c r="X556" s="282"/>
    </row>
    <row r="557" customFormat="false" ht="14.25" hidden="false" customHeight="false" outlineLevel="0" collapsed="false">
      <c r="A557" s="282"/>
      <c r="B557" s="282"/>
      <c r="C557" s="282"/>
      <c r="D557" s="282"/>
      <c r="E557" s="282"/>
      <c r="F557" s="282"/>
      <c r="G557" s="282"/>
      <c r="H557" s="282"/>
      <c r="I557" s="282"/>
      <c r="J557" s="282"/>
      <c r="K557" s="282"/>
      <c r="L557" s="282"/>
      <c r="M557" s="282"/>
      <c r="N557" s="282"/>
      <c r="O557" s="282"/>
      <c r="P557" s="282"/>
      <c r="Q557" s="282"/>
      <c r="R557" s="282"/>
      <c r="S557" s="282"/>
      <c r="T557" s="282"/>
      <c r="U557" s="282"/>
      <c r="V557" s="282"/>
      <c r="W557" s="282"/>
      <c r="X557" s="282"/>
    </row>
    <row r="558" customFormat="false" ht="14.25" hidden="false" customHeight="false" outlineLevel="0" collapsed="false">
      <c r="A558" s="282"/>
      <c r="B558" s="282"/>
      <c r="C558" s="282"/>
      <c r="D558" s="282"/>
      <c r="E558" s="282"/>
      <c r="F558" s="282"/>
      <c r="G558" s="282"/>
      <c r="H558" s="282"/>
      <c r="I558" s="282"/>
      <c r="J558" s="282"/>
      <c r="K558" s="282"/>
      <c r="L558" s="282"/>
      <c r="M558" s="282"/>
      <c r="N558" s="282"/>
      <c r="O558" s="282"/>
      <c r="P558" s="282"/>
      <c r="Q558" s="282"/>
      <c r="R558" s="282"/>
      <c r="S558" s="282"/>
      <c r="T558" s="282"/>
      <c r="U558" s="282"/>
      <c r="V558" s="282"/>
      <c r="W558" s="282"/>
      <c r="X558" s="282"/>
    </row>
    <row r="559" customFormat="false" ht="14.25" hidden="false" customHeight="false" outlineLevel="0" collapsed="false">
      <c r="A559" s="282"/>
      <c r="B559" s="282"/>
      <c r="C559" s="282"/>
      <c r="D559" s="282"/>
      <c r="E559" s="282"/>
      <c r="F559" s="282"/>
      <c r="G559" s="282"/>
      <c r="H559" s="282"/>
      <c r="I559" s="282"/>
      <c r="J559" s="282"/>
      <c r="K559" s="282"/>
      <c r="L559" s="282"/>
      <c r="M559" s="282"/>
      <c r="N559" s="282"/>
      <c r="O559" s="282"/>
      <c r="P559" s="282"/>
      <c r="Q559" s="282"/>
      <c r="R559" s="282"/>
      <c r="S559" s="282"/>
      <c r="T559" s="282"/>
      <c r="U559" s="282"/>
      <c r="V559" s="282"/>
      <c r="W559" s="282"/>
      <c r="X559" s="282"/>
    </row>
    <row r="560" customFormat="false" ht="14.25" hidden="false" customHeight="false" outlineLevel="0" collapsed="false">
      <c r="A560" s="282"/>
      <c r="B560" s="282"/>
      <c r="C560" s="282"/>
      <c r="D560" s="282"/>
      <c r="E560" s="282"/>
      <c r="F560" s="282"/>
      <c r="G560" s="282"/>
      <c r="H560" s="282"/>
      <c r="I560" s="282"/>
      <c r="J560" s="282"/>
      <c r="K560" s="282"/>
      <c r="L560" s="282"/>
      <c r="M560" s="282"/>
      <c r="N560" s="282"/>
      <c r="O560" s="282"/>
      <c r="P560" s="282"/>
      <c r="Q560" s="282"/>
      <c r="R560" s="282"/>
      <c r="S560" s="282"/>
      <c r="T560" s="282"/>
      <c r="U560" s="282"/>
      <c r="V560" s="282"/>
      <c r="W560" s="282"/>
      <c r="X560" s="282"/>
    </row>
    <row r="561" customFormat="false" ht="14.25" hidden="false" customHeight="false" outlineLevel="0" collapsed="false">
      <c r="A561" s="282"/>
      <c r="B561" s="282"/>
      <c r="C561" s="282"/>
      <c r="D561" s="282"/>
      <c r="E561" s="282"/>
      <c r="F561" s="282"/>
      <c r="G561" s="282"/>
      <c r="H561" s="282"/>
      <c r="I561" s="282"/>
      <c r="J561" s="282"/>
      <c r="K561" s="282"/>
      <c r="L561" s="282"/>
      <c r="M561" s="282"/>
      <c r="N561" s="282"/>
      <c r="O561" s="282"/>
      <c r="P561" s="282"/>
      <c r="Q561" s="282"/>
      <c r="R561" s="282"/>
      <c r="S561" s="282"/>
      <c r="T561" s="282"/>
      <c r="U561" s="282"/>
      <c r="V561" s="282"/>
      <c r="W561" s="282"/>
      <c r="X561" s="282"/>
    </row>
    <row r="562" customFormat="false" ht="14.25" hidden="false" customHeight="false" outlineLevel="0" collapsed="false">
      <c r="A562" s="282"/>
      <c r="B562" s="282"/>
      <c r="C562" s="282"/>
      <c r="D562" s="282"/>
      <c r="E562" s="282"/>
      <c r="F562" s="282"/>
      <c r="G562" s="282"/>
      <c r="H562" s="282"/>
      <c r="I562" s="282"/>
      <c r="J562" s="282"/>
      <c r="K562" s="282"/>
      <c r="L562" s="282"/>
      <c r="M562" s="282"/>
      <c r="N562" s="282"/>
      <c r="O562" s="282"/>
      <c r="P562" s="282"/>
      <c r="Q562" s="282"/>
      <c r="R562" s="282"/>
      <c r="S562" s="282"/>
      <c r="T562" s="282"/>
      <c r="U562" s="282"/>
      <c r="V562" s="282"/>
      <c r="W562" s="282"/>
      <c r="X562" s="282"/>
    </row>
    <row r="563" customFormat="false" ht="14.25" hidden="false" customHeight="false" outlineLevel="0" collapsed="false">
      <c r="A563" s="282"/>
      <c r="B563" s="282"/>
      <c r="C563" s="282"/>
      <c r="D563" s="282"/>
      <c r="E563" s="282"/>
      <c r="F563" s="282"/>
      <c r="G563" s="282"/>
      <c r="H563" s="282"/>
      <c r="I563" s="282"/>
      <c r="J563" s="282"/>
      <c r="K563" s="282"/>
      <c r="L563" s="282"/>
      <c r="M563" s="282"/>
      <c r="N563" s="282"/>
      <c r="O563" s="282"/>
      <c r="P563" s="282"/>
      <c r="Q563" s="282"/>
      <c r="R563" s="282"/>
      <c r="S563" s="282"/>
      <c r="T563" s="282"/>
      <c r="U563" s="282"/>
      <c r="V563" s="282"/>
      <c r="W563" s="282"/>
      <c r="X563" s="282"/>
    </row>
    <row r="564" customFormat="false" ht="14.25" hidden="false" customHeight="false" outlineLevel="0" collapsed="false">
      <c r="A564" s="282"/>
      <c r="B564" s="282"/>
      <c r="C564" s="282"/>
      <c r="D564" s="282"/>
      <c r="E564" s="282"/>
      <c r="F564" s="282"/>
      <c r="G564" s="282"/>
      <c r="H564" s="282"/>
      <c r="I564" s="282"/>
      <c r="J564" s="282"/>
      <c r="K564" s="282"/>
      <c r="L564" s="282"/>
      <c r="M564" s="282"/>
      <c r="N564" s="282"/>
      <c r="O564" s="282"/>
      <c r="P564" s="282"/>
      <c r="Q564" s="282"/>
      <c r="R564" s="282"/>
      <c r="S564" s="282"/>
      <c r="T564" s="282"/>
      <c r="U564" s="282"/>
      <c r="V564" s="282"/>
      <c r="W564" s="282"/>
      <c r="X564" s="282"/>
    </row>
    <row r="565" customFormat="false" ht="14.25" hidden="false" customHeight="false" outlineLevel="0" collapsed="false">
      <c r="A565" s="282"/>
      <c r="B565" s="282"/>
      <c r="C565" s="282"/>
      <c r="D565" s="282"/>
      <c r="E565" s="282"/>
      <c r="F565" s="282"/>
      <c r="G565" s="282"/>
      <c r="H565" s="282"/>
      <c r="I565" s="282"/>
      <c r="J565" s="282"/>
      <c r="K565" s="282"/>
      <c r="L565" s="282"/>
      <c r="M565" s="282"/>
      <c r="N565" s="282"/>
      <c r="O565" s="282"/>
      <c r="P565" s="282"/>
      <c r="Q565" s="282"/>
      <c r="R565" s="282"/>
      <c r="S565" s="282"/>
      <c r="T565" s="282"/>
      <c r="U565" s="282"/>
      <c r="V565" s="282"/>
      <c r="W565" s="282"/>
      <c r="X565" s="282"/>
    </row>
    <row r="566" customFormat="false" ht="14.25" hidden="false" customHeight="false" outlineLevel="0" collapsed="false">
      <c r="A566" s="282"/>
      <c r="B566" s="282"/>
      <c r="C566" s="282"/>
      <c r="D566" s="282"/>
      <c r="E566" s="282"/>
      <c r="F566" s="282"/>
      <c r="G566" s="282"/>
      <c r="H566" s="282"/>
      <c r="I566" s="282"/>
      <c r="J566" s="282"/>
      <c r="K566" s="282"/>
      <c r="L566" s="282"/>
      <c r="M566" s="282"/>
      <c r="N566" s="282"/>
      <c r="O566" s="282"/>
      <c r="P566" s="282"/>
      <c r="Q566" s="282"/>
      <c r="R566" s="282"/>
      <c r="S566" s="282"/>
      <c r="T566" s="282"/>
      <c r="U566" s="282"/>
      <c r="V566" s="282"/>
      <c r="W566" s="282"/>
      <c r="X566" s="282"/>
    </row>
    <row r="567" customFormat="false" ht="14.25" hidden="false" customHeight="false" outlineLevel="0" collapsed="false">
      <c r="A567" s="282"/>
      <c r="B567" s="282"/>
      <c r="C567" s="282"/>
      <c r="D567" s="282"/>
      <c r="E567" s="282"/>
      <c r="F567" s="282"/>
      <c r="G567" s="282"/>
      <c r="H567" s="282"/>
      <c r="I567" s="282"/>
      <c r="J567" s="282"/>
      <c r="K567" s="282"/>
      <c r="L567" s="282"/>
      <c r="M567" s="282"/>
      <c r="N567" s="282"/>
      <c r="O567" s="282"/>
      <c r="P567" s="282"/>
      <c r="Q567" s="282"/>
      <c r="R567" s="282"/>
      <c r="S567" s="282"/>
      <c r="T567" s="282"/>
      <c r="U567" s="282"/>
      <c r="V567" s="282"/>
      <c r="W567" s="282"/>
      <c r="X567" s="282"/>
    </row>
    <row r="568" customFormat="false" ht="14.25" hidden="false" customHeight="false" outlineLevel="0" collapsed="false">
      <c r="A568" s="282"/>
      <c r="B568" s="282"/>
      <c r="C568" s="282"/>
      <c r="D568" s="282"/>
      <c r="E568" s="282"/>
      <c r="F568" s="282"/>
      <c r="G568" s="282"/>
      <c r="H568" s="282"/>
      <c r="I568" s="282"/>
      <c r="J568" s="282"/>
      <c r="K568" s="282"/>
      <c r="L568" s="282"/>
      <c r="M568" s="282"/>
      <c r="N568" s="282"/>
      <c r="O568" s="282"/>
      <c r="P568" s="282"/>
      <c r="Q568" s="282"/>
      <c r="R568" s="282"/>
      <c r="S568" s="282"/>
      <c r="T568" s="282"/>
      <c r="U568" s="282"/>
      <c r="V568" s="282"/>
      <c r="W568" s="282"/>
      <c r="X568" s="282"/>
    </row>
    <row r="569" customFormat="false" ht="14.25" hidden="false" customHeight="false" outlineLevel="0" collapsed="false">
      <c r="A569" s="282"/>
      <c r="B569" s="282"/>
      <c r="C569" s="282"/>
      <c r="D569" s="282"/>
      <c r="E569" s="282"/>
      <c r="F569" s="282"/>
      <c r="G569" s="282"/>
      <c r="H569" s="282"/>
      <c r="I569" s="282"/>
      <c r="J569" s="282"/>
      <c r="K569" s="282"/>
      <c r="L569" s="282"/>
      <c r="M569" s="282"/>
      <c r="N569" s="282"/>
      <c r="O569" s="282"/>
      <c r="P569" s="282"/>
      <c r="Q569" s="282"/>
      <c r="R569" s="282"/>
      <c r="S569" s="282"/>
      <c r="T569" s="282"/>
      <c r="U569" s="282"/>
      <c r="V569" s="282"/>
      <c r="W569" s="282"/>
      <c r="X569" s="282"/>
    </row>
    <row r="570" customFormat="false" ht="14.25" hidden="false" customHeight="false" outlineLevel="0" collapsed="false">
      <c r="A570" s="282"/>
      <c r="B570" s="282"/>
      <c r="C570" s="282"/>
      <c r="D570" s="282"/>
      <c r="E570" s="282"/>
      <c r="F570" s="282"/>
      <c r="G570" s="282"/>
      <c r="H570" s="282"/>
      <c r="I570" s="282"/>
      <c r="J570" s="282"/>
      <c r="K570" s="282"/>
      <c r="L570" s="282"/>
      <c r="M570" s="282"/>
      <c r="N570" s="282"/>
      <c r="O570" s="282"/>
      <c r="P570" s="282"/>
      <c r="Q570" s="282"/>
      <c r="R570" s="282"/>
      <c r="S570" s="282"/>
      <c r="T570" s="282"/>
      <c r="U570" s="282"/>
      <c r="V570" s="282"/>
      <c r="W570" s="282"/>
      <c r="X570" s="282"/>
    </row>
    <row r="571" customFormat="false" ht="14.25" hidden="false" customHeight="false" outlineLevel="0" collapsed="false">
      <c r="A571" s="282"/>
      <c r="B571" s="282"/>
      <c r="C571" s="282"/>
      <c r="D571" s="282"/>
      <c r="E571" s="282"/>
      <c r="F571" s="282"/>
      <c r="G571" s="282"/>
      <c r="H571" s="282"/>
      <c r="I571" s="282"/>
      <c r="J571" s="282"/>
      <c r="K571" s="282"/>
      <c r="L571" s="282"/>
      <c r="M571" s="282"/>
      <c r="N571" s="282"/>
      <c r="O571" s="282"/>
      <c r="P571" s="282"/>
      <c r="Q571" s="282"/>
      <c r="R571" s="282"/>
      <c r="S571" s="282"/>
      <c r="T571" s="282"/>
      <c r="U571" s="282"/>
      <c r="V571" s="282"/>
      <c r="W571" s="282"/>
      <c r="X571" s="282"/>
    </row>
    <row r="572" customFormat="false" ht="14.25" hidden="false" customHeight="false" outlineLevel="0" collapsed="false">
      <c r="A572" s="282"/>
      <c r="B572" s="282"/>
      <c r="C572" s="282"/>
      <c r="D572" s="282"/>
      <c r="E572" s="282"/>
      <c r="F572" s="282"/>
      <c r="G572" s="282"/>
      <c r="H572" s="282"/>
      <c r="I572" s="282"/>
      <c r="J572" s="282"/>
      <c r="K572" s="282"/>
      <c r="L572" s="282"/>
      <c r="M572" s="282"/>
      <c r="N572" s="282"/>
      <c r="O572" s="282"/>
      <c r="P572" s="282"/>
      <c r="Q572" s="282"/>
      <c r="R572" s="282"/>
      <c r="S572" s="282"/>
      <c r="T572" s="282"/>
      <c r="U572" s="282"/>
      <c r="V572" s="282"/>
      <c r="W572" s="282"/>
      <c r="X572" s="282"/>
    </row>
    <row r="573" customFormat="false" ht="14.25" hidden="false" customHeight="false" outlineLevel="0" collapsed="false">
      <c r="A573" s="282"/>
      <c r="B573" s="282"/>
      <c r="C573" s="282"/>
      <c r="D573" s="282"/>
      <c r="E573" s="282"/>
      <c r="F573" s="282"/>
      <c r="G573" s="282"/>
      <c r="H573" s="282"/>
      <c r="I573" s="282"/>
      <c r="J573" s="282"/>
      <c r="K573" s="282"/>
      <c r="L573" s="282"/>
      <c r="M573" s="282"/>
      <c r="N573" s="282"/>
      <c r="O573" s="282"/>
      <c r="P573" s="282"/>
      <c r="Q573" s="282"/>
      <c r="R573" s="282"/>
      <c r="S573" s="282"/>
      <c r="T573" s="282"/>
      <c r="U573" s="282"/>
      <c r="V573" s="282"/>
      <c r="W573" s="282"/>
      <c r="X573" s="282"/>
    </row>
    <row r="574" customFormat="false" ht="14.25" hidden="false" customHeight="false" outlineLevel="0" collapsed="false">
      <c r="A574" s="282"/>
      <c r="B574" s="282"/>
      <c r="C574" s="282"/>
      <c r="D574" s="282"/>
      <c r="E574" s="282"/>
      <c r="F574" s="282"/>
      <c r="G574" s="282"/>
      <c r="H574" s="282"/>
      <c r="I574" s="282"/>
      <c r="J574" s="282"/>
      <c r="K574" s="282"/>
      <c r="L574" s="282"/>
      <c r="M574" s="282"/>
      <c r="N574" s="282"/>
      <c r="O574" s="282"/>
      <c r="P574" s="282"/>
      <c r="Q574" s="282"/>
      <c r="R574" s="282"/>
      <c r="S574" s="282"/>
      <c r="T574" s="282"/>
      <c r="U574" s="282"/>
      <c r="V574" s="282"/>
      <c r="W574" s="282"/>
      <c r="X574" s="282"/>
    </row>
    <row r="575" customFormat="false" ht="14.25" hidden="false" customHeight="false" outlineLevel="0" collapsed="false">
      <c r="A575" s="282"/>
      <c r="B575" s="282"/>
      <c r="C575" s="282"/>
      <c r="D575" s="282"/>
      <c r="E575" s="282"/>
      <c r="F575" s="282"/>
      <c r="G575" s="282"/>
      <c r="H575" s="282"/>
      <c r="I575" s="282"/>
      <c r="J575" s="282"/>
      <c r="K575" s="282"/>
      <c r="L575" s="282"/>
      <c r="M575" s="282"/>
      <c r="N575" s="282"/>
      <c r="O575" s="282"/>
      <c r="P575" s="282"/>
      <c r="Q575" s="282"/>
      <c r="R575" s="282"/>
      <c r="S575" s="282"/>
      <c r="T575" s="282"/>
      <c r="U575" s="282"/>
      <c r="V575" s="282"/>
      <c r="W575" s="282"/>
      <c r="X575" s="282"/>
    </row>
    <row r="576" customFormat="false" ht="14.25" hidden="false" customHeight="false" outlineLevel="0" collapsed="false">
      <c r="A576" s="282"/>
      <c r="B576" s="282"/>
      <c r="C576" s="282"/>
      <c r="D576" s="282"/>
      <c r="E576" s="282"/>
      <c r="F576" s="282"/>
      <c r="G576" s="282"/>
      <c r="H576" s="282"/>
      <c r="I576" s="282"/>
      <c r="J576" s="282"/>
      <c r="K576" s="282"/>
      <c r="L576" s="282"/>
      <c r="M576" s="282"/>
      <c r="N576" s="282"/>
      <c r="O576" s="282"/>
      <c r="P576" s="282"/>
      <c r="Q576" s="282"/>
      <c r="R576" s="282"/>
      <c r="S576" s="282"/>
      <c r="T576" s="282"/>
      <c r="U576" s="282"/>
      <c r="V576" s="282"/>
      <c r="W576" s="282"/>
      <c r="X576" s="282"/>
    </row>
    <row r="577" customFormat="false" ht="14.25" hidden="false" customHeight="false" outlineLevel="0" collapsed="false">
      <c r="A577" s="282"/>
      <c r="B577" s="282"/>
      <c r="C577" s="282"/>
      <c r="D577" s="282"/>
      <c r="E577" s="282"/>
      <c r="F577" s="282"/>
      <c r="G577" s="282"/>
      <c r="H577" s="282"/>
      <c r="I577" s="282"/>
      <c r="J577" s="282"/>
      <c r="K577" s="282"/>
      <c r="L577" s="282"/>
      <c r="M577" s="282"/>
      <c r="N577" s="282"/>
      <c r="O577" s="282"/>
      <c r="P577" s="282"/>
      <c r="Q577" s="282"/>
      <c r="R577" s="282"/>
      <c r="S577" s="282"/>
      <c r="T577" s="282"/>
      <c r="U577" s="282"/>
      <c r="V577" s="282"/>
      <c r="W577" s="282"/>
      <c r="X577" s="282"/>
    </row>
    <row r="578" customFormat="false" ht="14.25" hidden="false" customHeight="false" outlineLevel="0" collapsed="false">
      <c r="A578" s="282"/>
      <c r="B578" s="282"/>
      <c r="C578" s="282"/>
      <c r="D578" s="282"/>
      <c r="E578" s="282"/>
      <c r="F578" s="282"/>
      <c r="G578" s="282"/>
      <c r="H578" s="282"/>
      <c r="I578" s="282"/>
      <c r="J578" s="282"/>
      <c r="K578" s="282"/>
      <c r="L578" s="282"/>
      <c r="M578" s="282"/>
      <c r="N578" s="282"/>
      <c r="O578" s="282"/>
      <c r="P578" s="282"/>
      <c r="Q578" s="282"/>
      <c r="R578" s="282"/>
      <c r="S578" s="282"/>
      <c r="T578" s="282"/>
      <c r="U578" s="282"/>
      <c r="V578" s="282"/>
      <c r="W578" s="282"/>
      <c r="X578" s="282"/>
    </row>
    <row r="579" customFormat="false" ht="14.25" hidden="false" customHeight="false" outlineLevel="0" collapsed="false">
      <c r="A579" s="282"/>
      <c r="B579" s="282"/>
      <c r="C579" s="282"/>
      <c r="D579" s="282"/>
      <c r="E579" s="282"/>
      <c r="F579" s="282"/>
      <c r="G579" s="282"/>
      <c r="H579" s="282"/>
      <c r="I579" s="282"/>
      <c r="J579" s="282"/>
      <c r="K579" s="282"/>
      <c r="L579" s="282"/>
      <c r="M579" s="282"/>
      <c r="N579" s="282"/>
      <c r="O579" s="282"/>
      <c r="P579" s="282"/>
      <c r="Q579" s="282"/>
      <c r="R579" s="282"/>
      <c r="S579" s="282"/>
      <c r="T579" s="282"/>
      <c r="U579" s="282"/>
      <c r="V579" s="282"/>
      <c r="W579" s="282"/>
      <c r="X579" s="282"/>
    </row>
    <row r="580" customFormat="false" ht="14.25" hidden="false" customHeight="false" outlineLevel="0" collapsed="false">
      <c r="A580" s="282"/>
      <c r="B580" s="282"/>
      <c r="C580" s="282"/>
      <c r="D580" s="282"/>
      <c r="E580" s="282"/>
      <c r="F580" s="282"/>
      <c r="G580" s="282"/>
      <c r="H580" s="282"/>
      <c r="I580" s="282"/>
      <c r="J580" s="282"/>
      <c r="K580" s="282"/>
      <c r="L580" s="282"/>
      <c r="M580" s="282"/>
      <c r="N580" s="282"/>
      <c r="O580" s="282"/>
      <c r="P580" s="282"/>
      <c r="Q580" s="282"/>
      <c r="R580" s="282"/>
      <c r="S580" s="282"/>
      <c r="T580" s="282"/>
      <c r="U580" s="282"/>
      <c r="V580" s="282"/>
      <c r="W580" s="282"/>
      <c r="X580" s="282"/>
    </row>
    <row r="581" customFormat="false" ht="14.25" hidden="false" customHeight="false" outlineLevel="0" collapsed="false">
      <c r="A581" s="282"/>
      <c r="B581" s="282"/>
      <c r="C581" s="282"/>
      <c r="D581" s="282"/>
      <c r="E581" s="282"/>
      <c r="F581" s="282"/>
      <c r="G581" s="282"/>
      <c r="H581" s="282"/>
      <c r="I581" s="282"/>
      <c r="J581" s="282"/>
      <c r="K581" s="282"/>
      <c r="L581" s="282"/>
      <c r="M581" s="282"/>
      <c r="N581" s="282"/>
      <c r="O581" s="282"/>
      <c r="P581" s="282"/>
      <c r="Q581" s="282"/>
      <c r="R581" s="282"/>
      <c r="S581" s="282"/>
      <c r="T581" s="282"/>
      <c r="U581" s="282"/>
      <c r="V581" s="282"/>
      <c r="W581" s="282"/>
      <c r="X581" s="282"/>
    </row>
    <row r="582" customFormat="false" ht="14.25" hidden="false" customHeight="false" outlineLevel="0" collapsed="false">
      <c r="A582" s="282"/>
      <c r="B582" s="282"/>
      <c r="C582" s="282"/>
      <c r="D582" s="282"/>
      <c r="E582" s="282"/>
      <c r="F582" s="282"/>
      <c r="G582" s="282"/>
      <c r="H582" s="282"/>
      <c r="I582" s="282"/>
      <c r="J582" s="282"/>
      <c r="K582" s="282"/>
      <c r="L582" s="282"/>
      <c r="M582" s="282"/>
      <c r="N582" s="282"/>
      <c r="O582" s="282"/>
      <c r="P582" s="282"/>
      <c r="Q582" s="282"/>
      <c r="R582" s="282"/>
      <c r="S582" s="282"/>
      <c r="T582" s="282"/>
      <c r="U582" s="282"/>
      <c r="V582" s="282"/>
      <c r="W582" s="282"/>
      <c r="X582" s="282"/>
    </row>
    <row r="583" customFormat="false" ht="14.25" hidden="false" customHeight="false" outlineLevel="0" collapsed="false">
      <c r="A583" s="282"/>
      <c r="B583" s="282"/>
      <c r="C583" s="282"/>
      <c r="D583" s="282"/>
      <c r="E583" s="282"/>
      <c r="F583" s="282"/>
      <c r="G583" s="282"/>
      <c r="H583" s="282"/>
      <c r="I583" s="282"/>
      <c r="J583" s="282"/>
      <c r="K583" s="282"/>
      <c r="L583" s="282"/>
      <c r="M583" s="282"/>
      <c r="N583" s="282"/>
      <c r="O583" s="282"/>
      <c r="P583" s="282"/>
      <c r="Q583" s="282"/>
      <c r="R583" s="282"/>
      <c r="S583" s="282"/>
      <c r="T583" s="282"/>
      <c r="U583" s="282"/>
      <c r="V583" s="282"/>
      <c r="W583" s="282"/>
      <c r="X583" s="282"/>
    </row>
    <row r="584" customFormat="false" ht="14.25" hidden="false" customHeight="false" outlineLevel="0" collapsed="false">
      <c r="A584" s="282"/>
      <c r="B584" s="282"/>
      <c r="C584" s="282"/>
      <c r="D584" s="282"/>
      <c r="E584" s="282"/>
      <c r="F584" s="282"/>
      <c r="G584" s="282"/>
      <c r="H584" s="282"/>
      <c r="I584" s="282"/>
      <c r="J584" s="282"/>
      <c r="K584" s="282"/>
      <c r="L584" s="282"/>
      <c r="M584" s="282"/>
      <c r="N584" s="282"/>
      <c r="O584" s="282"/>
      <c r="P584" s="282"/>
      <c r="Q584" s="282"/>
      <c r="R584" s="282"/>
      <c r="S584" s="282"/>
      <c r="T584" s="282"/>
      <c r="U584" s="282"/>
      <c r="V584" s="282"/>
      <c r="W584" s="282"/>
      <c r="X584" s="282"/>
    </row>
    <row r="585" customFormat="false" ht="14.25" hidden="false" customHeight="false" outlineLevel="0" collapsed="false">
      <c r="A585" s="282"/>
      <c r="B585" s="282"/>
      <c r="C585" s="282"/>
      <c r="D585" s="282"/>
      <c r="E585" s="282"/>
      <c r="F585" s="282"/>
      <c r="G585" s="282"/>
      <c r="H585" s="282"/>
      <c r="I585" s="282"/>
      <c r="J585" s="282"/>
      <c r="K585" s="282"/>
      <c r="L585" s="282"/>
      <c r="M585" s="282"/>
      <c r="N585" s="282"/>
      <c r="O585" s="282"/>
      <c r="P585" s="282"/>
      <c r="Q585" s="282"/>
      <c r="R585" s="282"/>
      <c r="S585" s="282"/>
      <c r="T585" s="282"/>
      <c r="U585" s="282"/>
      <c r="V585" s="282"/>
      <c r="W585" s="282"/>
      <c r="X585" s="282"/>
    </row>
    <row r="586" customFormat="false" ht="14.25" hidden="false" customHeight="false" outlineLevel="0" collapsed="false">
      <c r="A586" s="282"/>
      <c r="B586" s="282"/>
      <c r="C586" s="282"/>
      <c r="D586" s="282"/>
      <c r="E586" s="282"/>
      <c r="F586" s="282"/>
      <c r="G586" s="282"/>
      <c r="H586" s="282"/>
      <c r="I586" s="282"/>
      <c r="J586" s="282"/>
      <c r="K586" s="282"/>
      <c r="L586" s="282"/>
      <c r="M586" s="282"/>
      <c r="N586" s="282"/>
      <c r="O586" s="282"/>
      <c r="P586" s="282"/>
      <c r="Q586" s="282"/>
      <c r="R586" s="282"/>
      <c r="S586" s="282"/>
      <c r="T586" s="282"/>
      <c r="U586" s="282"/>
      <c r="V586" s="282"/>
      <c r="W586" s="282"/>
      <c r="X586" s="282"/>
    </row>
    <row r="587" customFormat="false" ht="14.25" hidden="false" customHeight="false" outlineLevel="0" collapsed="false">
      <c r="A587" s="282"/>
      <c r="B587" s="282"/>
      <c r="C587" s="282"/>
      <c r="D587" s="282"/>
      <c r="E587" s="282"/>
      <c r="F587" s="282"/>
      <c r="G587" s="282"/>
      <c r="H587" s="282"/>
      <c r="I587" s="282"/>
      <c r="J587" s="282"/>
      <c r="K587" s="282"/>
      <c r="L587" s="282"/>
      <c r="M587" s="282"/>
      <c r="N587" s="282"/>
      <c r="O587" s="282"/>
      <c r="P587" s="282"/>
      <c r="Q587" s="282"/>
      <c r="R587" s="282"/>
      <c r="S587" s="282"/>
      <c r="T587" s="282"/>
      <c r="U587" s="282"/>
      <c r="V587" s="282"/>
      <c r="W587" s="282"/>
      <c r="X587" s="282"/>
    </row>
    <row r="588" customFormat="false" ht="14.25" hidden="false" customHeight="false" outlineLevel="0" collapsed="false">
      <c r="A588" s="282"/>
      <c r="B588" s="282"/>
      <c r="C588" s="282"/>
      <c r="D588" s="282"/>
      <c r="E588" s="282"/>
      <c r="F588" s="282"/>
      <c r="G588" s="282"/>
      <c r="H588" s="282"/>
      <c r="I588" s="282"/>
      <c r="J588" s="282"/>
      <c r="K588" s="282"/>
      <c r="L588" s="282"/>
      <c r="M588" s="282"/>
      <c r="N588" s="282"/>
      <c r="O588" s="282"/>
      <c r="P588" s="282"/>
      <c r="Q588" s="282"/>
      <c r="R588" s="282"/>
      <c r="S588" s="282"/>
      <c r="T588" s="282"/>
      <c r="U588" s="282"/>
      <c r="V588" s="282"/>
      <c r="W588" s="282"/>
      <c r="X588" s="282"/>
    </row>
    <row r="589" customFormat="false" ht="14.25" hidden="false" customHeight="false" outlineLevel="0" collapsed="false">
      <c r="A589" s="282"/>
      <c r="B589" s="282"/>
      <c r="C589" s="282"/>
      <c r="D589" s="282"/>
      <c r="E589" s="282"/>
      <c r="F589" s="282"/>
      <c r="G589" s="282"/>
      <c r="H589" s="282"/>
      <c r="I589" s="282"/>
      <c r="J589" s="282"/>
      <c r="K589" s="282"/>
      <c r="L589" s="282"/>
      <c r="M589" s="282"/>
      <c r="N589" s="282"/>
      <c r="O589" s="282"/>
      <c r="P589" s="282"/>
      <c r="Q589" s="282"/>
      <c r="R589" s="282"/>
      <c r="S589" s="282"/>
      <c r="T589" s="282"/>
      <c r="U589" s="282"/>
      <c r="V589" s="282"/>
      <c r="W589" s="282"/>
      <c r="X589" s="282"/>
    </row>
    <row r="590" customFormat="false" ht="14.25" hidden="false" customHeight="false" outlineLevel="0" collapsed="false">
      <c r="A590" s="282"/>
      <c r="B590" s="282"/>
      <c r="C590" s="282"/>
      <c r="D590" s="282"/>
      <c r="E590" s="282"/>
      <c r="F590" s="282"/>
      <c r="G590" s="282"/>
      <c r="H590" s="282"/>
      <c r="I590" s="282"/>
      <c r="J590" s="282"/>
      <c r="K590" s="282"/>
      <c r="L590" s="282"/>
      <c r="M590" s="282"/>
      <c r="N590" s="282"/>
      <c r="O590" s="282"/>
      <c r="P590" s="282"/>
      <c r="Q590" s="282"/>
      <c r="R590" s="282"/>
      <c r="S590" s="282"/>
      <c r="T590" s="282"/>
      <c r="U590" s="282"/>
      <c r="V590" s="282"/>
      <c r="W590" s="282"/>
      <c r="X590" s="282"/>
    </row>
    <row r="591" customFormat="false" ht="14.25" hidden="false" customHeight="false" outlineLevel="0" collapsed="false">
      <c r="A591" s="282"/>
      <c r="B591" s="282"/>
      <c r="C591" s="282"/>
      <c r="D591" s="282"/>
      <c r="E591" s="282"/>
      <c r="F591" s="282"/>
      <c r="G591" s="282"/>
      <c r="H591" s="282"/>
      <c r="I591" s="282"/>
      <c r="J591" s="282"/>
      <c r="K591" s="282"/>
      <c r="L591" s="282"/>
      <c r="M591" s="282"/>
      <c r="N591" s="282"/>
      <c r="O591" s="282"/>
      <c r="P591" s="282"/>
      <c r="Q591" s="282"/>
      <c r="R591" s="282"/>
      <c r="S591" s="282"/>
      <c r="T591" s="282"/>
      <c r="U591" s="282"/>
      <c r="V591" s="282"/>
      <c r="W591" s="282"/>
      <c r="X591" s="282"/>
    </row>
    <row r="592" customFormat="false" ht="14.25" hidden="false" customHeight="false" outlineLevel="0" collapsed="false">
      <c r="A592" s="282"/>
      <c r="B592" s="282"/>
      <c r="C592" s="282"/>
      <c r="D592" s="282"/>
      <c r="E592" s="282"/>
      <c r="F592" s="282"/>
      <c r="G592" s="282"/>
      <c r="H592" s="282"/>
      <c r="I592" s="282"/>
      <c r="J592" s="282"/>
      <c r="K592" s="282"/>
      <c r="L592" s="282"/>
      <c r="M592" s="282"/>
      <c r="N592" s="282"/>
      <c r="O592" s="282"/>
      <c r="P592" s="282"/>
      <c r="Q592" s="282"/>
      <c r="R592" s="282"/>
      <c r="S592" s="282"/>
      <c r="T592" s="282"/>
      <c r="U592" s="282"/>
      <c r="V592" s="282"/>
      <c r="W592" s="282"/>
      <c r="X592" s="282"/>
    </row>
    <row r="593" customFormat="false" ht="14.25" hidden="false" customHeight="false" outlineLevel="0" collapsed="false">
      <c r="A593" s="282"/>
      <c r="B593" s="282"/>
      <c r="C593" s="282"/>
      <c r="D593" s="282"/>
      <c r="E593" s="282"/>
      <c r="F593" s="282"/>
      <c r="G593" s="282"/>
      <c r="H593" s="282"/>
      <c r="I593" s="282"/>
      <c r="J593" s="282"/>
      <c r="K593" s="282"/>
      <c r="L593" s="282"/>
      <c r="M593" s="282"/>
      <c r="N593" s="282"/>
      <c r="O593" s="282"/>
      <c r="P593" s="282"/>
      <c r="Q593" s="282"/>
      <c r="R593" s="282"/>
      <c r="S593" s="282"/>
      <c r="T593" s="282"/>
      <c r="U593" s="282"/>
      <c r="V593" s="282"/>
      <c r="W593" s="282"/>
      <c r="X593" s="282"/>
    </row>
    <row r="594" customFormat="false" ht="14.25" hidden="false" customHeight="false" outlineLevel="0" collapsed="false">
      <c r="A594" s="282"/>
      <c r="B594" s="282"/>
      <c r="C594" s="282"/>
      <c r="D594" s="282"/>
      <c r="E594" s="282"/>
      <c r="F594" s="282"/>
      <c r="G594" s="282"/>
      <c r="H594" s="282"/>
      <c r="I594" s="282"/>
      <c r="J594" s="282"/>
      <c r="K594" s="282"/>
      <c r="L594" s="282"/>
      <c r="M594" s="282"/>
      <c r="N594" s="282"/>
      <c r="O594" s="282"/>
      <c r="P594" s="282"/>
      <c r="Q594" s="282"/>
      <c r="R594" s="282"/>
      <c r="S594" s="282"/>
      <c r="T594" s="282"/>
      <c r="U594" s="282"/>
      <c r="V594" s="282"/>
      <c r="W594" s="282"/>
      <c r="X594" s="282"/>
    </row>
    <row r="595" customFormat="false" ht="14.25" hidden="false" customHeight="false" outlineLevel="0" collapsed="false">
      <c r="A595" s="282"/>
      <c r="B595" s="282"/>
      <c r="C595" s="282"/>
      <c r="D595" s="282"/>
      <c r="E595" s="282"/>
      <c r="F595" s="282"/>
      <c r="G595" s="282"/>
      <c r="H595" s="282"/>
      <c r="I595" s="282"/>
      <c r="J595" s="282"/>
      <c r="K595" s="282"/>
      <c r="L595" s="282"/>
      <c r="M595" s="282"/>
      <c r="N595" s="282"/>
      <c r="O595" s="282"/>
      <c r="P595" s="282"/>
      <c r="Q595" s="282"/>
      <c r="R595" s="282"/>
      <c r="S595" s="282"/>
      <c r="T595" s="282"/>
      <c r="U595" s="282"/>
      <c r="V595" s="282"/>
      <c r="W595" s="282"/>
      <c r="X595" s="282"/>
    </row>
    <row r="596" customFormat="false" ht="14.25" hidden="false" customHeight="false" outlineLevel="0" collapsed="false">
      <c r="A596" s="282"/>
      <c r="B596" s="282"/>
      <c r="C596" s="282"/>
      <c r="D596" s="282"/>
      <c r="E596" s="282"/>
      <c r="F596" s="282"/>
      <c r="G596" s="282"/>
      <c r="H596" s="282"/>
      <c r="I596" s="282"/>
      <c r="J596" s="282"/>
      <c r="K596" s="282"/>
      <c r="L596" s="282"/>
      <c r="M596" s="282"/>
      <c r="N596" s="282"/>
      <c r="O596" s="282"/>
      <c r="P596" s="282"/>
      <c r="Q596" s="282"/>
      <c r="R596" s="282"/>
      <c r="S596" s="282"/>
      <c r="T596" s="282"/>
      <c r="U596" s="282"/>
      <c r="V596" s="282"/>
      <c r="W596" s="282"/>
      <c r="X596" s="282"/>
    </row>
    <row r="597" customFormat="false" ht="14.25" hidden="false" customHeight="false" outlineLevel="0" collapsed="false">
      <c r="A597" s="282"/>
      <c r="B597" s="282"/>
      <c r="C597" s="282"/>
      <c r="D597" s="282"/>
      <c r="E597" s="282"/>
      <c r="F597" s="282"/>
      <c r="G597" s="282"/>
      <c r="H597" s="282"/>
      <c r="I597" s="282"/>
      <c r="J597" s="282"/>
      <c r="K597" s="282"/>
      <c r="L597" s="282"/>
      <c r="M597" s="282"/>
      <c r="N597" s="282"/>
      <c r="O597" s="282"/>
      <c r="P597" s="282"/>
      <c r="Q597" s="282"/>
      <c r="R597" s="282"/>
      <c r="S597" s="282"/>
      <c r="T597" s="282"/>
      <c r="U597" s="282"/>
      <c r="V597" s="282"/>
      <c r="W597" s="282"/>
      <c r="X597" s="282"/>
    </row>
    <row r="598" customFormat="false" ht="14.25" hidden="false" customHeight="false" outlineLevel="0" collapsed="false">
      <c r="A598" s="282"/>
      <c r="B598" s="282"/>
      <c r="C598" s="282"/>
      <c r="D598" s="282"/>
      <c r="E598" s="282"/>
      <c r="F598" s="282"/>
      <c r="G598" s="282"/>
      <c r="H598" s="282"/>
      <c r="I598" s="282"/>
      <c r="J598" s="282"/>
      <c r="K598" s="282"/>
      <c r="L598" s="282"/>
      <c r="M598" s="282"/>
      <c r="N598" s="282"/>
      <c r="O598" s="282"/>
      <c r="P598" s="282"/>
      <c r="Q598" s="282"/>
      <c r="R598" s="282"/>
      <c r="S598" s="282"/>
      <c r="T598" s="282"/>
      <c r="U598" s="282"/>
      <c r="V598" s="282"/>
      <c r="W598" s="282"/>
      <c r="X598" s="282"/>
    </row>
    <row r="599" customFormat="false" ht="14.25" hidden="false" customHeight="false" outlineLevel="0" collapsed="false">
      <c r="A599" s="282"/>
      <c r="B599" s="282"/>
      <c r="C599" s="282"/>
      <c r="D599" s="282"/>
      <c r="E599" s="282"/>
      <c r="F599" s="282"/>
      <c r="G599" s="282"/>
      <c r="H599" s="282"/>
      <c r="I599" s="282"/>
      <c r="J599" s="282"/>
      <c r="K599" s="282"/>
      <c r="L599" s="282"/>
      <c r="M599" s="282"/>
      <c r="N599" s="282"/>
      <c r="O599" s="282"/>
      <c r="P599" s="282"/>
      <c r="Q599" s="282"/>
      <c r="R599" s="282"/>
      <c r="S599" s="282"/>
      <c r="T599" s="282"/>
      <c r="U599" s="282"/>
      <c r="V599" s="282"/>
      <c r="W599" s="282"/>
      <c r="X599" s="282"/>
    </row>
    <row r="600" customFormat="false" ht="14.25" hidden="false" customHeight="false" outlineLevel="0" collapsed="false">
      <c r="A600" s="282"/>
      <c r="B600" s="282"/>
      <c r="C600" s="282"/>
      <c r="D600" s="282"/>
      <c r="E600" s="282"/>
      <c r="F600" s="282"/>
      <c r="G600" s="282"/>
      <c r="H600" s="282"/>
      <c r="I600" s="282"/>
      <c r="J600" s="282"/>
      <c r="K600" s="282"/>
      <c r="L600" s="282"/>
      <c r="M600" s="282"/>
      <c r="N600" s="282"/>
      <c r="O600" s="282"/>
      <c r="P600" s="282"/>
      <c r="Q600" s="282"/>
      <c r="R600" s="282"/>
      <c r="S600" s="282"/>
      <c r="T600" s="282"/>
      <c r="U600" s="282"/>
      <c r="V600" s="282"/>
      <c r="W600" s="282"/>
      <c r="X600" s="282"/>
    </row>
    <row r="601" customFormat="false" ht="14.25" hidden="false" customHeight="false" outlineLevel="0" collapsed="false">
      <c r="A601" s="282"/>
      <c r="B601" s="282"/>
      <c r="C601" s="282"/>
      <c r="D601" s="282"/>
      <c r="E601" s="282"/>
      <c r="F601" s="282"/>
      <c r="G601" s="282"/>
      <c r="H601" s="282"/>
      <c r="I601" s="282"/>
      <c r="J601" s="282"/>
      <c r="K601" s="282"/>
      <c r="L601" s="282"/>
      <c r="M601" s="282"/>
      <c r="N601" s="282"/>
      <c r="O601" s="282"/>
      <c r="P601" s="282"/>
      <c r="Q601" s="282"/>
      <c r="R601" s="282"/>
      <c r="S601" s="282"/>
      <c r="T601" s="282"/>
      <c r="U601" s="282"/>
      <c r="V601" s="282"/>
      <c r="W601" s="282"/>
      <c r="X601" s="282"/>
    </row>
    <row r="602" customFormat="false" ht="14.25" hidden="false" customHeight="false" outlineLevel="0" collapsed="false">
      <c r="A602" s="282"/>
      <c r="B602" s="282"/>
      <c r="C602" s="282"/>
      <c r="D602" s="282"/>
      <c r="E602" s="282"/>
      <c r="F602" s="282"/>
      <c r="G602" s="282"/>
      <c r="H602" s="282"/>
      <c r="I602" s="282"/>
      <c r="J602" s="282"/>
      <c r="K602" s="282"/>
      <c r="L602" s="282"/>
      <c r="M602" s="282"/>
      <c r="N602" s="282"/>
      <c r="O602" s="282"/>
      <c r="P602" s="282"/>
      <c r="Q602" s="282"/>
      <c r="R602" s="282"/>
      <c r="S602" s="282"/>
      <c r="T602" s="282"/>
      <c r="U602" s="282"/>
      <c r="V602" s="282"/>
      <c r="W602" s="282"/>
      <c r="X602" s="282"/>
    </row>
    <row r="603" customFormat="false" ht="14.25" hidden="false" customHeight="false" outlineLevel="0" collapsed="false">
      <c r="A603" s="282"/>
      <c r="B603" s="282"/>
      <c r="C603" s="282"/>
      <c r="D603" s="282"/>
      <c r="E603" s="282"/>
      <c r="F603" s="282"/>
      <c r="G603" s="282"/>
      <c r="H603" s="282"/>
      <c r="I603" s="282"/>
      <c r="J603" s="282"/>
      <c r="K603" s="282"/>
      <c r="L603" s="282"/>
      <c r="M603" s="282"/>
      <c r="N603" s="282"/>
      <c r="O603" s="282"/>
      <c r="P603" s="282"/>
      <c r="Q603" s="282"/>
      <c r="R603" s="282"/>
      <c r="S603" s="282"/>
      <c r="T603" s="282"/>
      <c r="U603" s="282"/>
      <c r="V603" s="282"/>
      <c r="W603" s="282"/>
      <c r="X603" s="282"/>
    </row>
    <row r="604" customFormat="false" ht="14.25" hidden="false" customHeight="false" outlineLevel="0" collapsed="false">
      <c r="A604" s="282"/>
      <c r="B604" s="282"/>
      <c r="C604" s="282"/>
      <c r="D604" s="282"/>
      <c r="E604" s="282"/>
      <c r="F604" s="282"/>
      <c r="G604" s="282"/>
      <c r="H604" s="282"/>
      <c r="I604" s="282"/>
      <c r="J604" s="282"/>
      <c r="K604" s="282"/>
      <c r="L604" s="282"/>
      <c r="M604" s="282"/>
      <c r="N604" s="282"/>
      <c r="O604" s="282"/>
      <c r="P604" s="282"/>
      <c r="Q604" s="282"/>
      <c r="R604" s="282"/>
      <c r="S604" s="282"/>
      <c r="T604" s="282"/>
      <c r="U604" s="282"/>
      <c r="V604" s="282"/>
      <c r="W604" s="282"/>
      <c r="X604" s="282"/>
    </row>
    <row r="605" customFormat="false" ht="14.25" hidden="false" customHeight="false" outlineLevel="0" collapsed="false">
      <c r="A605" s="282"/>
      <c r="B605" s="282"/>
      <c r="C605" s="282"/>
      <c r="D605" s="282"/>
      <c r="E605" s="282"/>
      <c r="F605" s="282"/>
      <c r="G605" s="282"/>
      <c r="H605" s="282"/>
      <c r="I605" s="282"/>
      <c r="J605" s="282"/>
      <c r="K605" s="282"/>
      <c r="L605" s="282"/>
      <c r="M605" s="282"/>
      <c r="N605" s="282"/>
      <c r="O605" s="282"/>
      <c r="P605" s="282"/>
      <c r="Q605" s="282"/>
      <c r="R605" s="282"/>
      <c r="S605" s="282"/>
      <c r="T605" s="282"/>
      <c r="U605" s="282"/>
      <c r="V605" s="282"/>
      <c r="W605" s="282"/>
      <c r="X605" s="282"/>
    </row>
    <row r="606" customFormat="false" ht="14.25" hidden="false" customHeight="false" outlineLevel="0" collapsed="false">
      <c r="A606" s="282"/>
      <c r="B606" s="282"/>
      <c r="C606" s="282"/>
      <c r="D606" s="282"/>
      <c r="E606" s="282"/>
      <c r="F606" s="282"/>
      <c r="G606" s="282"/>
      <c r="H606" s="282"/>
      <c r="I606" s="282"/>
      <c r="J606" s="282"/>
      <c r="K606" s="282"/>
      <c r="L606" s="282"/>
      <c r="M606" s="282"/>
      <c r="N606" s="282"/>
      <c r="O606" s="282"/>
      <c r="P606" s="282"/>
      <c r="Q606" s="282"/>
      <c r="R606" s="282"/>
      <c r="S606" s="282"/>
      <c r="T606" s="282"/>
      <c r="U606" s="282"/>
      <c r="V606" s="282"/>
      <c r="W606" s="282"/>
      <c r="X606" s="282"/>
    </row>
    <row r="607" customFormat="false" ht="14.25" hidden="false" customHeight="false" outlineLevel="0" collapsed="false">
      <c r="A607" s="282"/>
      <c r="B607" s="282"/>
      <c r="C607" s="282"/>
      <c r="D607" s="282"/>
      <c r="E607" s="282"/>
      <c r="F607" s="282"/>
      <c r="G607" s="282"/>
      <c r="H607" s="282"/>
      <c r="I607" s="282"/>
      <c r="J607" s="282"/>
      <c r="K607" s="282"/>
      <c r="L607" s="282"/>
      <c r="M607" s="282"/>
      <c r="N607" s="282"/>
      <c r="O607" s="282"/>
      <c r="P607" s="282"/>
      <c r="Q607" s="282"/>
      <c r="R607" s="282"/>
      <c r="S607" s="282"/>
      <c r="T607" s="282"/>
      <c r="U607" s="282"/>
      <c r="V607" s="282"/>
      <c r="W607" s="282"/>
      <c r="X607" s="282"/>
    </row>
    <row r="608" customFormat="false" ht="14.25" hidden="false" customHeight="false" outlineLevel="0" collapsed="false">
      <c r="A608" s="282"/>
      <c r="B608" s="282"/>
      <c r="C608" s="282"/>
      <c r="D608" s="282"/>
      <c r="E608" s="282"/>
      <c r="F608" s="282"/>
      <c r="G608" s="282"/>
      <c r="H608" s="282"/>
      <c r="I608" s="282"/>
      <c r="J608" s="282"/>
      <c r="K608" s="282"/>
      <c r="L608" s="282"/>
      <c r="M608" s="282"/>
      <c r="N608" s="282"/>
      <c r="O608" s="282"/>
      <c r="P608" s="282"/>
      <c r="Q608" s="282"/>
      <c r="R608" s="282"/>
      <c r="S608" s="282"/>
      <c r="T608" s="282"/>
      <c r="U608" s="282"/>
      <c r="V608" s="282"/>
      <c r="W608" s="282"/>
      <c r="X608" s="282"/>
    </row>
    <row r="609" customFormat="false" ht="14.25" hidden="false" customHeight="false" outlineLevel="0" collapsed="false">
      <c r="A609" s="282"/>
      <c r="B609" s="282"/>
      <c r="C609" s="282"/>
      <c r="D609" s="282"/>
      <c r="E609" s="282"/>
      <c r="F609" s="282"/>
      <c r="G609" s="282"/>
      <c r="H609" s="282"/>
      <c r="I609" s="282"/>
      <c r="J609" s="282"/>
      <c r="K609" s="282"/>
      <c r="L609" s="282"/>
      <c r="M609" s="282"/>
      <c r="N609" s="282"/>
      <c r="O609" s="282"/>
      <c r="P609" s="282"/>
      <c r="Q609" s="282"/>
      <c r="R609" s="282"/>
      <c r="S609" s="282"/>
      <c r="T609" s="282"/>
      <c r="U609" s="282"/>
      <c r="V609" s="282"/>
      <c r="W609" s="282"/>
      <c r="X609" s="282"/>
    </row>
    <row r="610" customFormat="false" ht="14.25" hidden="false" customHeight="false" outlineLevel="0" collapsed="false">
      <c r="A610" s="282"/>
      <c r="B610" s="282"/>
      <c r="C610" s="282"/>
      <c r="D610" s="282"/>
      <c r="E610" s="282"/>
      <c r="F610" s="282"/>
      <c r="G610" s="282"/>
      <c r="H610" s="282"/>
      <c r="I610" s="282"/>
      <c r="J610" s="282"/>
      <c r="K610" s="282"/>
      <c r="L610" s="282"/>
      <c r="M610" s="282"/>
      <c r="N610" s="282"/>
      <c r="O610" s="282"/>
      <c r="P610" s="282"/>
      <c r="Q610" s="282"/>
      <c r="R610" s="282"/>
      <c r="S610" s="282"/>
      <c r="T610" s="282"/>
      <c r="U610" s="282"/>
      <c r="V610" s="282"/>
      <c r="W610" s="282"/>
      <c r="X610" s="282"/>
    </row>
    <row r="611" customFormat="false" ht="14.25" hidden="false" customHeight="false" outlineLevel="0" collapsed="false">
      <c r="A611" s="282"/>
      <c r="B611" s="282"/>
      <c r="C611" s="282"/>
      <c r="D611" s="282"/>
      <c r="E611" s="282"/>
      <c r="F611" s="282"/>
      <c r="G611" s="282"/>
      <c r="H611" s="282"/>
      <c r="I611" s="282"/>
      <c r="J611" s="282"/>
      <c r="K611" s="282"/>
      <c r="L611" s="282"/>
      <c r="M611" s="282"/>
      <c r="N611" s="282"/>
      <c r="O611" s="282"/>
      <c r="P611" s="282"/>
      <c r="Q611" s="282"/>
      <c r="R611" s="282"/>
      <c r="S611" s="282"/>
      <c r="T611" s="282"/>
      <c r="U611" s="282"/>
      <c r="V611" s="282"/>
      <c r="W611" s="282"/>
      <c r="X611" s="282"/>
    </row>
    <row r="612" customFormat="false" ht="14.25" hidden="false" customHeight="false" outlineLevel="0" collapsed="false">
      <c r="A612" s="282"/>
      <c r="B612" s="282"/>
      <c r="C612" s="282"/>
      <c r="D612" s="282"/>
      <c r="E612" s="282"/>
      <c r="F612" s="282"/>
      <c r="G612" s="282"/>
      <c r="H612" s="282"/>
      <c r="I612" s="282"/>
      <c r="J612" s="282"/>
      <c r="K612" s="282"/>
      <c r="L612" s="282"/>
      <c r="M612" s="282"/>
      <c r="N612" s="282"/>
      <c r="O612" s="282"/>
      <c r="P612" s="282"/>
      <c r="Q612" s="282"/>
      <c r="R612" s="282"/>
      <c r="S612" s="282"/>
      <c r="T612" s="282"/>
      <c r="U612" s="282"/>
      <c r="V612" s="282"/>
      <c r="W612" s="282"/>
      <c r="X612" s="282"/>
    </row>
    <row r="613" customFormat="false" ht="14.25" hidden="false" customHeight="false" outlineLevel="0" collapsed="false">
      <c r="A613" s="282"/>
      <c r="B613" s="282"/>
      <c r="C613" s="282"/>
      <c r="D613" s="282"/>
      <c r="E613" s="282"/>
      <c r="F613" s="282"/>
      <c r="G613" s="282"/>
      <c r="H613" s="282"/>
      <c r="I613" s="282"/>
      <c r="J613" s="282"/>
      <c r="K613" s="282"/>
      <c r="L613" s="282"/>
      <c r="M613" s="282"/>
      <c r="N613" s="282"/>
      <c r="O613" s="282"/>
      <c r="P613" s="282"/>
      <c r="Q613" s="282"/>
      <c r="R613" s="282"/>
      <c r="S613" s="282"/>
      <c r="T613" s="282"/>
      <c r="U613" s="282"/>
      <c r="V613" s="282"/>
      <c r="W613" s="282"/>
      <c r="X613" s="282"/>
    </row>
    <row r="614" customFormat="false" ht="14.25" hidden="false" customHeight="false" outlineLevel="0" collapsed="false">
      <c r="A614" s="282"/>
      <c r="B614" s="282"/>
      <c r="C614" s="282"/>
      <c r="D614" s="282"/>
      <c r="E614" s="282"/>
      <c r="F614" s="282"/>
      <c r="G614" s="282"/>
      <c r="H614" s="282"/>
      <c r="I614" s="282"/>
      <c r="J614" s="282"/>
      <c r="K614" s="282"/>
      <c r="L614" s="282"/>
      <c r="M614" s="282"/>
      <c r="N614" s="282"/>
      <c r="O614" s="282"/>
      <c r="P614" s="282"/>
      <c r="Q614" s="282"/>
      <c r="R614" s="282"/>
      <c r="S614" s="282"/>
      <c r="T614" s="282"/>
      <c r="U614" s="282"/>
      <c r="V614" s="282"/>
      <c r="W614" s="282"/>
      <c r="X614" s="282"/>
    </row>
    <row r="615" customFormat="false" ht="14.25" hidden="false" customHeight="false" outlineLevel="0" collapsed="false">
      <c r="A615" s="282"/>
      <c r="B615" s="282"/>
      <c r="C615" s="282"/>
      <c r="D615" s="282"/>
      <c r="E615" s="282"/>
      <c r="F615" s="282"/>
      <c r="G615" s="282"/>
      <c r="H615" s="282"/>
      <c r="I615" s="282"/>
      <c r="J615" s="282"/>
      <c r="K615" s="282"/>
      <c r="L615" s="282"/>
      <c r="M615" s="282"/>
      <c r="N615" s="282"/>
      <c r="O615" s="282"/>
      <c r="P615" s="282"/>
      <c r="Q615" s="282"/>
      <c r="R615" s="282"/>
      <c r="S615" s="282"/>
      <c r="T615" s="282"/>
      <c r="U615" s="282"/>
      <c r="V615" s="282"/>
      <c r="W615" s="282"/>
      <c r="X615" s="282"/>
    </row>
    <row r="616" customFormat="false" ht="14.25" hidden="false" customHeight="false" outlineLevel="0" collapsed="false">
      <c r="A616" s="282"/>
      <c r="B616" s="282"/>
      <c r="C616" s="282"/>
      <c r="D616" s="282"/>
      <c r="E616" s="282"/>
      <c r="F616" s="282"/>
      <c r="G616" s="282"/>
      <c r="H616" s="282"/>
      <c r="I616" s="282"/>
      <c r="J616" s="282"/>
      <c r="K616" s="282"/>
      <c r="L616" s="282"/>
      <c r="M616" s="282"/>
      <c r="N616" s="282"/>
      <c r="O616" s="282"/>
      <c r="P616" s="282"/>
      <c r="Q616" s="282"/>
      <c r="R616" s="282"/>
      <c r="S616" s="282"/>
      <c r="T616" s="282"/>
      <c r="U616" s="282"/>
      <c r="V616" s="282"/>
      <c r="W616" s="282"/>
      <c r="X616" s="282"/>
    </row>
    <row r="617" customFormat="false" ht="14.25" hidden="false" customHeight="false" outlineLevel="0" collapsed="false">
      <c r="A617" s="282"/>
      <c r="B617" s="282"/>
      <c r="C617" s="282"/>
      <c r="D617" s="282"/>
      <c r="E617" s="282"/>
      <c r="F617" s="282"/>
      <c r="G617" s="282"/>
      <c r="H617" s="282"/>
      <c r="I617" s="282"/>
      <c r="J617" s="282"/>
      <c r="K617" s="282"/>
      <c r="L617" s="282"/>
      <c r="M617" s="282"/>
      <c r="N617" s="282"/>
      <c r="O617" s="282"/>
      <c r="P617" s="282"/>
      <c r="Q617" s="282"/>
      <c r="R617" s="282"/>
      <c r="S617" s="282"/>
      <c r="T617" s="282"/>
      <c r="U617" s="282"/>
      <c r="V617" s="282"/>
      <c r="W617" s="282"/>
      <c r="X617" s="282"/>
    </row>
    <row r="618" customFormat="false" ht="14.25" hidden="false" customHeight="false" outlineLevel="0" collapsed="false">
      <c r="A618" s="282"/>
      <c r="B618" s="282"/>
      <c r="C618" s="282"/>
      <c r="D618" s="282"/>
      <c r="E618" s="282"/>
      <c r="F618" s="282"/>
      <c r="G618" s="282"/>
      <c r="H618" s="282"/>
      <c r="I618" s="282"/>
      <c r="J618" s="282"/>
      <c r="K618" s="282"/>
      <c r="L618" s="282"/>
      <c r="M618" s="282"/>
      <c r="N618" s="282"/>
      <c r="O618" s="282"/>
      <c r="P618" s="282"/>
      <c r="Q618" s="282"/>
      <c r="R618" s="282"/>
      <c r="S618" s="282"/>
      <c r="T618" s="282"/>
      <c r="U618" s="282"/>
      <c r="V618" s="282"/>
      <c r="W618" s="282"/>
      <c r="X618" s="282"/>
    </row>
    <row r="619" customFormat="false" ht="14.25" hidden="false" customHeight="false" outlineLevel="0" collapsed="false">
      <c r="A619" s="282"/>
      <c r="B619" s="282"/>
      <c r="C619" s="282"/>
      <c r="D619" s="282"/>
      <c r="E619" s="282"/>
      <c r="F619" s="282"/>
      <c r="G619" s="282"/>
      <c r="H619" s="282"/>
      <c r="I619" s="282"/>
      <c r="J619" s="282"/>
      <c r="K619" s="282"/>
      <c r="L619" s="282"/>
      <c r="M619" s="282"/>
      <c r="N619" s="282"/>
      <c r="O619" s="282"/>
      <c r="P619" s="282"/>
      <c r="Q619" s="282"/>
      <c r="R619" s="282"/>
      <c r="S619" s="282"/>
      <c r="T619" s="282"/>
      <c r="U619" s="282"/>
      <c r="V619" s="282"/>
      <c r="W619" s="282"/>
      <c r="X619" s="282"/>
    </row>
    <row r="620" customFormat="false" ht="14.25" hidden="false" customHeight="false" outlineLevel="0" collapsed="false">
      <c r="A620" s="282"/>
      <c r="B620" s="282"/>
      <c r="C620" s="282"/>
      <c r="D620" s="282"/>
      <c r="E620" s="282"/>
      <c r="F620" s="282"/>
      <c r="G620" s="282"/>
      <c r="H620" s="282"/>
      <c r="I620" s="282"/>
      <c r="J620" s="282"/>
      <c r="K620" s="282"/>
      <c r="L620" s="282"/>
      <c r="M620" s="282"/>
      <c r="N620" s="282"/>
      <c r="O620" s="282"/>
      <c r="P620" s="282"/>
      <c r="Q620" s="282"/>
      <c r="R620" s="282"/>
      <c r="S620" s="282"/>
      <c r="T620" s="282"/>
      <c r="U620" s="282"/>
      <c r="V620" s="282"/>
      <c r="W620" s="282"/>
      <c r="X620" s="282"/>
    </row>
    <row r="621" customFormat="false" ht="14.25" hidden="false" customHeight="false" outlineLevel="0" collapsed="false">
      <c r="A621" s="282"/>
      <c r="B621" s="282"/>
      <c r="C621" s="282"/>
      <c r="D621" s="282"/>
      <c r="E621" s="282"/>
      <c r="F621" s="282"/>
      <c r="G621" s="282"/>
      <c r="H621" s="282"/>
      <c r="I621" s="282"/>
      <c r="J621" s="282"/>
      <c r="K621" s="282"/>
      <c r="L621" s="282"/>
      <c r="M621" s="282"/>
      <c r="N621" s="282"/>
      <c r="O621" s="282"/>
      <c r="P621" s="282"/>
      <c r="Q621" s="282"/>
      <c r="R621" s="282"/>
      <c r="S621" s="282"/>
      <c r="T621" s="282"/>
      <c r="U621" s="282"/>
      <c r="V621" s="282"/>
      <c r="W621" s="282"/>
      <c r="X621" s="282"/>
    </row>
    <row r="622" customFormat="false" ht="14.25" hidden="false" customHeight="false" outlineLevel="0" collapsed="false">
      <c r="A622" s="282"/>
      <c r="B622" s="282"/>
      <c r="C622" s="282"/>
      <c r="D622" s="282"/>
      <c r="E622" s="282"/>
      <c r="F622" s="282"/>
      <c r="G622" s="282"/>
      <c r="H622" s="282"/>
      <c r="I622" s="282"/>
      <c r="J622" s="282"/>
      <c r="K622" s="282"/>
      <c r="L622" s="282"/>
      <c r="M622" s="282"/>
      <c r="N622" s="282"/>
      <c r="O622" s="282"/>
      <c r="P622" s="282"/>
      <c r="Q622" s="282"/>
      <c r="R622" s="282"/>
      <c r="S622" s="282"/>
      <c r="T622" s="282"/>
      <c r="U622" s="282"/>
      <c r="V622" s="282"/>
      <c r="W622" s="282"/>
      <c r="X622" s="282"/>
    </row>
    <row r="623" customFormat="false" ht="14.25" hidden="false" customHeight="false" outlineLevel="0" collapsed="false">
      <c r="A623" s="282"/>
      <c r="B623" s="282"/>
      <c r="C623" s="282"/>
      <c r="D623" s="282"/>
      <c r="E623" s="282"/>
      <c r="F623" s="282"/>
      <c r="G623" s="282"/>
      <c r="H623" s="282"/>
      <c r="I623" s="282"/>
      <c r="J623" s="282"/>
      <c r="K623" s="282"/>
      <c r="L623" s="282"/>
      <c r="M623" s="282"/>
      <c r="N623" s="282"/>
      <c r="O623" s="282"/>
      <c r="P623" s="282"/>
      <c r="Q623" s="282"/>
      <c r="R623" s="282"/>
      <c r="S623" s="282"/>
      <c r="T623" s="282"/>
      <c r="U623" s="282"/>
      <c r="V623" s="282"/>
      <c r="W623" s="282"/>
      <c r="X623" s="282"/>
    </row>
    <row r="624" customFormat="false" ht="14.25" hidden="false" customHeight="false" outlineLevel="0" collapsed="false">
      <c r="A624" s="282"/>
      <c r="B624" s="282"/>
      <c r="C624" s="282"/>
      <c r="D624" s="282"/>
      <c r="E624" s="282"/>
      <c r="F624" s="282"/>
      <c r="G624" s="282"/>
      <c r="H624" s="282"/>
      <c r="I624" s="282"/>
      <c r="J624" s="282"/>
      <c r="K624" s="282"/>
      <c r="L624" s="282"/>
      <c r="M624" s="282"/>
      <c r="N624" s="282"/>
      <c r="O624" s="282"/>
      <c r="P624" s="282"/>
      <c r="Q624" s="282"/>
      <c r="R624" s="282"/>
      <c r="S624" s="282"/>
      <c r="T624" s="282"/>
      <c r="U624" s="282"/>
      <c r="V624" s="282"/>
      <c r="W624" s="282"/>
      <c r="X624" s="282"/>
    </row>
    <row r="625" customFormat="false" ht="14.25" hidden="false" customHeight="false" outlineLevel="0" collapsed="false">
      <c r="A625" s="282"/>
      <c r="B625" s="282"/>
      <c r="C625" s="282"/>
      <c r="D625" s="282"/>
      <c r="E625" s="282"/>
      <c r="F625" s="282"/>
      <c r="G625" s="282"/>
      <c r="H625" s="282"/>
      <c r="I625" s="282"/>
      <c r="J625" s="282"/>
      <c r="K625" s="282"/>
      <c r="L625" s="282"/>
      <c r="M625" s="282"/>
      <c r="N625" s="282"/>
      <c r="O625" s="282"/>
      <c r="P625" s="282"/>
      <c r="Q625" s="282"/>
      <c r="R625" s="282"/>
      <c r="S625" s="282"/>
      <c r="T625" s="282"/>
      <c r="U625" s="282"/>
      <c r="V625" s="282"/>
      <c r="W625" s="282"/>
      <c r="X625" s="282"/>
    </row>
    <row r="626" customFormat="false" ht="14.25" hidden="false" customHeight="false" outlineLevel="0" collapsed="false">
      <c r="A626" s="282"/>
      <c r="B626" s="282"/>
      <c r="C626" s="282"/>
      <c r="D626" s="282"/>
      <c r="E626" s="282"/>
      <c r="F626" s="282"/>
      <c r="G626" s="282"/>
      <c r="H626" s="282"/>
      <c r="I626" s="282"/>
      <c r="J626" s="282"/>
      <c r="K626" s="282"/>
      <c r="L626" s="282"/>
      <c r="M626" s="282"/>
      <c r="N626" s="282"/>
      <c r="O626" s="282"/>
      <c r="P626" s="282"/>
      <c r="Q626" s="282"/>
      <c r="R626" s="282"/>
      <c r="S626" s="282"/>
      <c r="T626" s="282"/>
      <c r="U626" s="282"/>
      <c r="V626" s="282"/>
      <c r="W626" s="282"/>
      <c r="X626" s="282"/>
    </row>
    <row r="627" customFormat="false" ht="14.25" hidden="false" customHeight="false" outlineLevel="0" collapsed="false">
      <c r="A627" s="282"/>
      <c r="B627" s="282"/>
      <c r="C627" s="282"/>
      <c r="D627" s="282"/>
      <c r="E627" s="282"/>
      <c r="F627" s="282"/>
      <c r="G627" s="282"/>
      <c r="H627" s="282"/>
      <c r="I627" s="282"/>
      <c r="J627" s="282"/>
      <c r="K627" s="282"/>
      <c r="L627" s="282"/>
      <c r="M627" s="282"/>
      <c r="N627" s="282"/>
      <c r="O627" s="282"/>
      <c r="P627" s="282"/>
      <c r="Q627" s="282"/>
      <c r="R627" s="282"/>
      <c r="S627" s="282"/>
      <c r="T627" s="282"/>
      <c r="U627" s="282"/>
      <c r="V627" s="282"/>
      <c r="W627" s="282"/>
      <c r="X627" s="282"/>
    </row>
    <row r="628" customFormat="false" ht="14.25" hidden="false" customHeight="false" outlineLevel="0" collapsed="false">
      <c r="A628" s="282"/>
      <c r="B628" s="282"/>
      <c r="C628" s="282"/>
      <c r="D628" s="282"/>
      <c r="E628" s="282"/>
      <c r="F628" s="282"/>
      <c r="G628" s="282"/>
      <c r="H628" s="282"/>
      <c r="I628" s="282"/>
      <c r="J628" s="282"/>
      <c r="K628" s="282"/>
      <c r="L628" s="282"/>
      <c r="M628" s="282"/>
      <c r="N628" s="282"/>
      <c r="O628" s="282"/>
      <c r="P628" s="282"/>
      <c r="Q628" s="282"/>
      <c r="R628" s="282"/>
      <c r="S628" s="282"/>
      <c r="T628" s="282"/>
      <c r="U628" s="282"/>
      <c r="V628" s="282"/>
      <c r="W628" s="282"/>
      <c r="X628" s="282"/>
    </row>
    <row r="629" customFormat="false" ht="14.25" hidden="false" customHeight="false" outlineLevel="0" collapsed="false">
      <c r="A629" s="282"/>
      <c r="B629" s="282"/>
      <c r="C629" s="282"/>
      <c r="D629" s="282"/>
      <c r="E629" s="282"/>
      <c r="F629" s="282"/>
      <c r="G629" s="282"/>
      <c r="H629" s="282"/>
      <c r="I629" s="282"/>
      <c r="J629" s="282"/>
      <c r="K629" s="282"/>
      <c r="L629" s="282"/>
      <c r="M629" s="282"/>
      <c r="N629" s="282"/>
      <c r="O629" s="282"/>
      <c r="P629" s="282"/>
      <c r="Q629" s="282"/>
      <c r="R629" s="282"/>
      <c r="S629" s="282"/>
      <c r="T629" s="282"/>
      <c r="U629" s="282"/>
      <c r="V629" s="282"/>
      <c r="W629" s="282"/>
      <c r="X629" s="282"/>
    </row>
    <row r="630" customFormat="false" ht="14.25" hidden="false" customHeight="false" outlineLevel="0" collapsed="false">
      <c r="A630" s="282"/>
      <c r="B630" s="282"/>
      <c r="C630" s="282"/>
      <c r="D630" s="282"/>
      <c r="E630" s="282"/>
      <c r="F630" s="282"/>
      <c r="G630" s="282"/>
      <c r="H630" s="282"/>
      <c r="I630" s="282"/>
      <c r="J630" s="282"/>
      <c r="K630" s="282"/>
      <c r="L630" s="282"/>
      <c r="M630" s="282"/>
      <c r="N630" s="282"/>
      <c r="O630" s="282"/>
      <c r="P630" s="282"/>
      <c r="Q630" s="282"/>
      <c r="R630" s="282"/>
      <c r="S630" s="282"/>
      <c r="T630" s="282"/>
      <c r="U630" s="282"/>
      <c r="V630" s="282"/>
      <c r="W630" s="282"/>
      <c r="X630" s="282"/>
    </row>
    <row r="631" customFormat="false" ht="14.25" hidden="false" customHeight="false" outlineLevel="0" collapsed="false">
      <c r="A631" s="282"/>
      <c r="B631" s="282"/>
      <c r="C631" s="282"/>
      <c r="D631" s="282"/>
      <c r="E631" s="282"/>
      <c r="F631" s="282"/>
      <c r="G631" s="282"/>
      <c r="H631" s="282"/>
      <c r="I631" s="282"/>
      <c r="J631" s="282"/>
      <c r="K631" s="282"/>
      <c r="L631" s="282"/>
      <c r="M631" s="282"/>
      <c r="N631" s="282"/>
      <c r="O631" s="282"/>
      <c r="P631" s="282"/>
      <c r="Q631" s="282"/>
      <c r="R631" s="282"/>
      <c r="S631" s="282"/>
      <c r="T631" s="282"/>
      <c r="U631" s="282"/>
      <c r="V631" s="282"/>
      <c r="W631" s="282"/>
      <c r="X631" s="282"/>
    </row>
    <row r="632" customFormat="false" ht="14.25" hidden="false" customHeight="false" outlineLevel="0" collapsed="false">
      <c r="A632" s="282"/>
      <c r="B632" s="282"/>
      <c r="C632" s="282"/>
      <c r="D632" s="282"/>
      <c r="E632" s="282"/>
      <c r="F632" s="282"/>
      <c r="G632" s="282"/>
      <c r="H632" s="282"/>
      <c r="I632" s="282"/>
      <c r="J632" s="282"/>
      <c r="K632" s="282"/>
      <c r="L632" s="282"/>
      <c r="M632" s="282"/>
      <c r="N632" s="282"/>
      <c r="O632" s="282"/>
      <c r="P632" s="282"/>
      <c r="Q632" s="282"/>
      <c r="R632" s="282"/>
      <c r="S632" s="282"/>
      <c r="T632" s="282"/>
      <c r="U632" s="282"/>
      <c r="V632" s="282"/>
      <c r="W632" s="282"/>
      <c r="X632" s="282"/>
    </row>
    <row r="633" customFormat="false" ht="14.25" hidden="false" customHeight="false" outlineLevel="0" collapsed="false">
      <c r="A633" s="282"/>
      <c r="B633" s="282"/>
      <c r="C633" s="282"/>
      <c r="D633" s="282"/>
      <c r="E633" s="282"/>
      <c r="F633" s="282"/>
      <c r="G633" s="282"/>
      <c r="H633" s="282"/>
      <c r="I633" s="282"/>
      <c r="J633" s="282"/>
      <c r="K633" s="282"/>
      <c r="L633" s="282"/>
      <c r="M633" s="282"/>
      <c r="N633" s="282"/>
      <c r="O633" s="282"/>
      <c r="P633" s="282"/>
      <c r="Q633" s="282"/>
      <c r="R633" s="282"/>
      <c r="S633" s="282"/>
      <c r="T633" s="282"/>
      <c r="U633" s="282"/>
      <c r="V633" s="282"/>
      <c r="W633" s="282"/>
      <c r="X633" s="282"/>
    </row>
    <row r="634" customFormat="false" ht="14.25" hidden="false" customHeight="false" outlineLevel="0" collapsed="false">
      <c r="A634" s="282"/>
      <c r="B634" s="282"/>
      <c r="C634" s="282"/>
      <c r="D634" s="282"/>
      <c r="E634" s="282"/>
      <c r="F634" s="282"/>
      <c r="G634" s="282"/>
      <c r="H634" s="282"/>
      <c r="I634" s="282"/>
      <c r="J634" s="282"/>
      <c r="K634" s="282"/>
      <c r="L634" s="282"/>
      <c r="M634" s="282"/>
      <c r="N634" s="282"/>
      <c r="O634" s="282"/>
      <c r="P634" s="282"/>
      <c r="Q634" s="282"/>
      <c r="R634" s="282"/>
      <c r="S634" s="282"/>
      <c r="T634" s="282"/>
      <c r="U634" s="282"/>
      <c r="V634" s="282"/>
      <c r="W634" s="282"/>
      <c r="X634" s="282"/>
    </row>
    <row r="635" customFormat="false" ht="14.25" hidden="false" customHeight="false" outlineLevel="0" collapsed="false">
      <c r="A635" s="282"/>
      <c r="B635" s="282"/>
      <c r="C635" s="282"/>
      <c r="D635" s="282"/>
      <c r="E635" s="282"/>
      <c r="F635" s="282"/>
      <c r="G635" s="282"/>
      <c r="H635" s="282"/>
      <c r="I635" s="282"/>
      <c r="J635" s="282"/>
      <c r="K635" s="282"/>
      <c r="L635" s="282"/>
      <c r="M635" s="282"/>
      <c r="N635" s="282"/>
      <c r="O635" s="282"/>
      <c r="P635" s="282"/>
      <c r="Q635" s="282"/>
      <c r="R635" s="282"/>
      <c r="S635" s="282"/>
      <c r="T635" s="282"/>
      <c r="U635" s="282"/>
      <c r="V635" s="282"/>
      <c r="W635" s="282"/>
      <c r="X635" s="282"/>
    </row>
    <row r="636" customFormat="false" ht="14.25" hidden="false" customHeight="false" outlineLevel="0" collapsed="false">
      <c r="A636" s="282"/>
      <c r="B636" s="282"/>
      <c r="C636" s="282"/>
      <c r="D636" s="282"/>
      <c r="E636" s="282"/>
      <c r="F636" s="282"/>
      <c r="G636" s="282"/>
      <c r="H636" s="282"/>
      <c r="I636" s="282"/>
      <c r="J636" s="282"/>
      <c r="K636" s="282"/>
      <c r="L636" s="282"/>
      <c r="M636" s="282"/>
      <c r="N636" s="282"/>
      <c r="O636" s="282"/>
      <c r="P636" s="282"/>
      <c r="Q636" s="282"/>
      <c r="R636" s="282"/>
      <c r="S636" s="282"/>
      <c r="T636" s="282"/>
      <c r="U636" s="282"/>
      <c r="V636" s="282"/>
      <c r="W636" s="282"/>
      <c r="X636" s="282"/>
    </row>
    <row r="637" customFormat="false" ht="14.25" hidden="false" customHeight="false" outlineLevel="0" collapsed="false">
      <c r="A637" s="282"/>
      <c r="B637" s="282"/>
      <c r="C637" s="282"/>
      <c r="D637" s="282"/>
      <c r="E637" s="282"/>
      <c r="F637" s="282"/>
      <c r="G637" s="282"/>
      <c r="H637" s="282"/>
      <c r="I637" s="282"/>
      <c r="J637" s="282"/>
      <c r="K637" s="282"/>
      <c r="L637" s="282"/>
      <c r="M637" s="282"/>
      <c r="N637" s="282"/>
      <c r="O637" s="282"/>
      <c r="P637" s="282"/>
      <c r="Q637" s="282"/>
      <c r="R637" s="282"/>
      <c r="S637" s="282"/>
      <c r="T637" s="282"/>
      <c r="U637" s="282"/>
      <c r="V637" s="282"/>
      <c r="W637" s="282"/>
      <c r="X637" s="282"/>
    </row>
    <row r="638" customFormat="false" ht="14.25" hidden="false" customHeight="false" outlineLevel="0" collapsed="false">
      <c r="A638" s="282"/>
      <c r="B638" s="282"/>
      <c r="C638" s="282"/>
      <c r="D638" s="282"/>
      <c r="E638" s="282"/>
      <c r="F638" s="282"/>
      <c r="G638" s="282"/>
      <c r="H638" s="282"/>
      <c r="I638" s="282"/>
      <c r="J638" s="282"/>
      <c r="K638" s="282"/>
      <c r="L638" s="282"/>
      <c r="M638" s="282"/>
      <c r="N638" s="282"/>
      <c r="O638" s="282"/>
      <c r="P638" s="282"/>
      <c r="Q638" s="282"/>
      <c r="R638" s="282"/>
      <c r="S638" s="282"/>
      <c r="T638" s="282"/>
      <c r="U638" s="282"/>
      <c r="V638" s="282"/>
      <c r="W638" s="282"/>
      <c r="X638" s="282"/>
    </row>
    <row r="639" customFormat="false" ht="14.25" hidden="false" customHeight="false" outlineLevel="0" collapsed="false">
      <c r="A639" s="282"/>
      <c r="B639" s="282"/>
      <c r="C639" s="282"/>
      <c r="D639" s="282"/>
      <c r="E639" s="282"/>
      <c r="F639" s="282"/>
      <c r="G639" s="282"/>
      <c r="H639" s="282"/>
      <c r="I639" s="282"/>
      <c r="J639" s="282"/>
      <c r="K639" s="282"/>
      <c r="L639" s="282"/>
      <c r="M639" s="282"/>
      <c r="N639" s="282"/>
      <c r="O639" s="282"/>
      <c r="P639" s="282"/>
      <c r="Q639" s="282"/>
      <c r="R639" s="282"/>
      <c r="S639" s="282"/>
      <c r="T639" s="282"/>
      <c r="U639" s="282"/>
      <c r="V639" s="282"/>
      <c r="W639" s="282"/>
      <c r="X639" s="282"/>
    </row>
    <row r="640" customFormat="false" ht="14.25" hidden="false" customHeight="false" outlineLevel="0" collapsed="false">
      <c r="A640" s="282"/>
      <c r="B640" s="282"/>
      <c r="C640" s="282"/>
      <c r="D640" s="282"/>
      <c r="E640" s="282"/>
      <c r="F640" s="282"/>
      <c r="G640" s="282"/>
      <c r="H640" s="282"/>
      <c r="I640" s="282"/>
      <c r="J640" s="282"/>
      <c r="K640" s="282"/>
      <c r="L640" s="282"/>
      <c r="M640" s="282"/>
      <c r="N640" s="282"/>
      <c r="O640" s="282"/>
      <c r="P640" s="282"/>
      <c r="Q640" s="282"/>
      <c r="R640" s="282"/>
      <c r="S640" s="282"/>
      <c r="T640" s="282"/>
      <c r="U640" s="282"/>
      <c r="V640" s="282"/>
      <c r="W640" s="282"/>
      <c r="X640" s="282"/>
    </row>
    <row r="641" customFormat="false" ht="14.25" hidden="false" customHeight="false" outlineLevel="0" collapsed="false">
      <c r="A641" s="282"/>
      <c r="B641" s="282"/>
      <c r="C641" s="282"/>
      <c r="D641" s="282"/>
      <c r="E641" s="282"/>
      <c r="F641" s="282"/>
      <c r="G641" s="282"/>
      <c r="H641" s="282"/>
      <c r="I641" s="282"/>
      <c r="J641" s="282"/>
      <c r="K641" s="282"/>
      <c r="L641" s="282"/>
      <c r="M641" s="282"/>
      <c r="N641" s="282"/>
      <c r="O641" s="282"/>
      <c r="P641" s="282"/>
      <c r="Q641" s="282"/>
      <c r="R641" s="282"/>
      <c r="S641" s="282"/>
      <c r="T641" s="282"/>
      <c r="U641" s="282"/>
      <c r="V641" s="282"/>
      <c r="W641" s="282"/>
      <c r="X641" s="282"/>
    </row>
    <row r="642" customFormat="false" ht="14.25" hidden="false" customHeight="false" outlineLevel="0" collapsed="false">
      <c r="A642" s="282"/>
      <c r="B642" s="282"/>
      <c r="C642" s="282"/>
      <c r="D642" s="282"/>
      <c r="E642" s="282"/>
      <c r="F642" s="282"/>
      <c r="G642" s="282"/>
      <c r="H642" s="282"/>
      <c r="I642" s="282"/>
      <c r="J642" s="282"/>
      <c r="K642" s="282"/>
      <c r="L642" s="282"/>
      <c r="M642" s="282"/>
      <c r="N642" s="282"/>
      <c r="O642" s="282"/>
      <c r="P642" s="282"/>
      <c r="Q642" s="282"/>
      <c r="R642" s="282"/>
      <c r="S642" s="282"/>
      <c r="T642" s="282"/>
      <c r="U642" s="282"/>
      <c r="V642" s="282"/>
      <c r="W642" s="282"/>
      <c r="X642" s="282"/>
    </row>
    <row r="643" customFormat="false" ht="14.25" hidden="false" customHeight="false" outlineLevel="0" collapsed="false">
      <c r="A643" s="282"/>
      <c r="B643" s="282"/>
      <c r="C643" s="282"/>
      <c r="D643" s="282"/>
      <c r="E643" s="282"/>
      <c r="F643" s="282"/>
      <c r="G643" s="282"/>
      <c r="H643" s="282"/>
      <c r="I643" s="282"/>
      <c r="J643" s="282"/>
      <c r="K643" s="282"/>
      <c r="L643" s="282"/>
      <c r="M643" s="282"/>
      <c r="N643" s="282"/>
      <c r="O643" s="282"/>
      <c r="P643" s="282"/>
      <c r="Q643" s="282"/>
      <c r="R643" s="282"/>
      <c r="S643" s="282"/>
      <c r="T643" s="282"/>
      <c r="U643" s="282"/>
      <c r="V643" s="282"/>
      <c r="W643" s="282"/>
      <c r="X643" s="282"/>
    </row>
    <row r="644" customFormat="false" ht="14.25" hidden="false" customHeight="false" outlineLevel="0" collapsed="false">
      <c r="A644" s="282"/>
      <c r="B644" s="282"/>
      <c r="C644" s="282"/>
      <c r="D644" s="282"/>
      <c r="E644" s="282"/>
      <c r="F644" s="282"/>
      <c r="G644" s="282"/>
      <c r="H644" s="282"/>
      <c r="I644" s="282"/>
      <c r="J644" s="282"/>
      <c r="K644" s="282"/>
      <c r="L644" s="282"/>
      <c r="M644" s="282"/>
      <c r="N644" s="282"/>
      <c r="O644" s="282"/>
      <c r="P644" s="282"/>
      <c r="Q644" s="282"/>
      <c r="R644" s="282"/>
      <c r="S644" s="282"/>
      <c r="T644" s="282"/>
      <c r="U644" s="282"/>
      <c r="V644" s="282"/>
      <c r="W644" s="282"/>
      <c r="X644" s="282"/>
    </row>
    <row r="645" customFormat="false" ht="14.25" hidden="false" customHeight="false" outlineLevel="0" collapsed="false">
      <c r="A645" s="282"/>
      <c r="B645" s="282"/>
      <c r="C645" s="282"/>
      <c r="D645" s="282"/>
      <c r="E645" s="282"/>
      <c r="F645" s="282"/>
      <c r="G645" s="282"/>
      <c r="H645" s="282"/>
      <c r="I645" s="282"/>
      <c r="J645" s="282"/>
      <c r="K645" s="282"/>
      <c r="L645" s="282"/>
      <c r="M645" s="282"/>
      <c r="N645" s="282"/>
      <c r="O645" s="282"/>
      <c r="P645" s="282"/>
      <c r="Q645" s="282"/>
      <c r="R645" s="282"/>
      <c r="S645" s="282"/>
      <c r="T645" s="282"/>
      <c r="U645" s="282"/>
      <c r="V645" s="282"/>
      <c r="W645" s="282"/>
      <c r="X645" s="282"/>
    </row>
    <row r="646" customFormat="false" ht="14.25" hidden="false" customHeight="false" outlineLevel="0" collapsed="false">
      <c r="A646" s="282"/>
      <c r="B646" s="282"/>
      <c r="C646" s="282"/>
      <c r="D646" s="282"/>
      <c r="E646" s="282"/>
      <c r="F646" s="282"/>
      <c r="G646" s="282"/>
      <c r="H646" s="282"/>
      <c r="I646" s="282"/>
      <c r="J646" s="282"/>
      <c r="K646" s="282"/>
      <c r="L646" s="282"/>
      <c r="M646" s="282"/>
      <c r="N646" s="282"/>
      <c r="O646" s="282"/>
      <c r="P646" s="282"/>
      <c r="Q646" s="282"/>
      <c r="R646" s="282"/>
      <c r="S646" s="282"/>
      <c r="T646" s="282"/>
      <c r="U646" s="282"/>
      <c r="V646" s="282"/>
      <c r="W646" s="282"/>
      <c r="X646" s="282"/>
    </row>
    <row r="647" customFormat="false" ht="14.25" hidden="false" customHeight="false" outlineLevel="0" collapsed="false">
      <c r="A647" s="282"/>
      <c r="B647" s="282"/>
      <c r="C647" s="282"/>
      <c r="D647" s="282"/>
      <c r="E647" s="282"/>
      <c r="F647" s="282"/>
      <c r="G647" s="282"/>
      <c r="H647" s="282"/>
      <c r="I647" s="282"/>
      <c r="J647" s="282"/>
      <c r="K647" s="282"/>
      <c r="L647" s="282"/>
      <c r="M647" s="282"/>
      <c r="N647" s="282"/>
      <c r="O647" s="282"/>
      <c r="P647" s="282"/>
      <c r="Q647" s="282"/>
      <c r="R647" s="282"/>
      <c r="S647" s="282"/>
      <c r="T647" s="282"/>
      <c r="U647" s="282"/>
      <c r="V647" s="282"/>
      <c r="W647" s="282"/>
      <c r="X647" s="282"/>
    </row>
    <row r="648" customFormat="false" ht="14.25" hidden="false" customHeight="false" outlineLevel="0" collapsed="false">
      <c r="A648" s="282"/>
      <c r="B648" s="282"/>
      <c r="C648" s="282"/>
      <c r="D648" s="282"/>
      <c r="E648" s="282"/>
      <c r="F648" s="282"/>
      <c r="G648" s="282"/>
      <c r="H648" s="282"/>
      <c r="I648" s="282"/>
      <c r="J648" s="282"/>
      <c r="K648" s="282"/>
      <c r="L648" s="282"/>
      <c r="M648" s="282"/>
      <c r="N648" s="282"/>
      <c r="O648" s="282"/>
      <c r="P648" s="282"/>
      <c r="Q648" s="282"/>
      <c r="R648" s="282"/>
      <c r="S648" s="282"/>
      <c r="T648" s="282"/>
      <c r="U648" s="282"/>
      <c r="V648" s="282"/>
      <c r="W648" s="282"/>
      <c r="X648" s="282"/>
    </row>
    <row r="649" customFormat="false" ht="14.25" hidden="false" customHeight="false" outlineLevel="0" collapsed="false">
      <c r="A649" s="282"/>
      <c r="B649" s="282"/>
      <c r="C649" s="282"/>
      <c r="D649" s="282"/>
      <c r="E649" s="282"/>
      <c r="F649" s="282"/>
      <c r="G649" s="282"/>
      <c r="H649" s="282"/>
      <c r="I649" s="282"/>
      <c r="J649" s="282"/>
      <c r="K649" s="282"/>
      <c r="L649" s="282"/>
      <c r="M649" s="282"/>
      <c r="N649" s="282"/>
      <c r="O649" s="282"/>
      <c r="P649" s="282"/>
      <c r="Q649" s="282"/>
      <c r="R649" s="282"/>
      <c r="S649" s="282"/>
      <c r="T649" s="282"/>
      <c r="U649" s="282"/>
      <c r="V649" s="282"/>
      <c r="W649" s="282"/>
      <c r="X649" s="282"/>
    </row>
    <row r="650" customFormat="false" ht="14.25" hidden="false" customHeight="false" outlineLevel="0" collapsed="false">
      <c r="A650" s="282"/>
      <c r="B650" s="282"/>
      <c r="C650" s="282"/>
      <c r="D650" s="282"/>
      <c r="E650" s="282"/>
      <c r="F650" s="282"/>
      <c r="G650" s="282"/>
      <c r="H650" s="282"/>
      <c r="I650" s="282"/>
      <c r="J650" s="282"/>
      <c r="K650" s="282"/>
      <c r="L650" s="282"/>
      <c r="M650" s="282"/>
      <c r="N650" s="282"/>
      <c r="O650" s="282"/>
      <c r="P650" s="282"/>
      <c r="Q650" s="282"/>
      <c r="R650" s="282"/>
      <c r="S650" s="282"/>
      <c r="T650" s="282"/>
      <c r="U650" s="282"/>
      <c r="V650" s="282"/>
      <c r="W650" s="282"/>
      <c r="X650" s="282"/>
    </row>
    <row r="651" customFormat="false" ht="14.25" hidden="false" customHeight="false" outlineLevel="0" collapsed="false">
      <c r="A651" s="282"/>
      <c r="B651" s="282"/>
      <c r="C651" s="282"/>
      <c r="D651" s="282"/>
      <c r="E651" s="282"/>
      <c r="F651" s="282"/>
      <c r="G651" s="282"/>
      <c r="H651" s="282"/>
      <c r="I651" s="282"/>
      <c r="J651" s="282"/>
      <c r="K651" s="282"/>
      <c r="L651" s="282"/>
      <c r="M651" s="282"/>
      <c r="N651" s="282"/>
      <c r="O651" s="282"/>
      <c r="P651" s="282"/>
      <c r="Q651" s="282"/>
      <c r="R651" s="282"/>
      <c r="S651" s="282"/>
      <c r="T651" s="282"/>
      <c r="U651" s="282"/>
      <c r="V651" s="282"/>
      <c r="W651" s="282"/>
      <c r="X651" s="282"/>
    </row>
    <row r="652" customFormat="false" ht="14.25" hidden="false" customHeight="false" outlineLevel="0" collapsed="false">
      <c r="A652" s="282"/>
      <c r="B652" s="282"/>
      <c r="C652" s="282"/>
      <c r="D652" s="282"/>
      <c r="E652" s="282"/>
      <c r="F652" s="282"/>
      <c r="G652" s="282"/>
      <c r="H652" s="282"/>
      <c r="I652" s="282"/>
      <c r="J652" s="282"/>
      <c r="K652" s="282"/>
      <c r="L652" s="282"/>
      <c r="M652" s="282"/>
      <c r="N652" s="282"/>
      <c r="O652" s="282"/>
      <c r="P652" s="282"/>
      <c r="Q652" s="282"/>
      <c r="R652" s="282"/>
      <c r="S652" s="282"/>
      <c r="T652" s="282"/>
      <c r="U652" s="282"/>
      <c r="V652" s="282"/>
      <c r="W652" s="282"/>
      <c r="X652" s="282"/>
    </row>
    <row r="653" customFormat="false" ht="14.25" hidden="false" customHeight="false" outlineLevel="0" collapsed="false">
      <c r="A653" s="282"/>
      <c r="B653" s="282"/>
      <c r="C653" s="282"/>
      <c r="D653" s="282"/>
      <c r="E653" s="282"/>
      <c r="F653" s="282"/>
      <c r="G653" s="282"/>
      <c r="H653" s="282"/>
      <c r="I653" s="282"/>
      <c r="J653" s="282"/>
      <c r="K653" s="282"/>
      <c r="L653" s="282"/>
      <c r="M653" s="282"/>
      <c r="N653" s="282"/>
      <c r="O653" s="282"/>
      <c r="P653" s="282"/>
      <c r="Q653" s="282"/>
      <c r="R653" s="282"/>
      <c r="S653" s="282"/>
      <c r="T653" s="282"/>
      <c r="U653" s="282"/>
      <c r="V653" s="282"/>
      <c r="W653" s="282"/>
      <c r="X653" s="282"/>
    </row>
    <row r="654" customFormat="false" ht="14.25" hidden="false" customHeight="false" outlineLevel="0" collapsed="false">
      <c r="A654" s="282"/>
      <c r="B654" s="282"/>
      <c r="C654" s="282"/>
      <c r="D654" s="282"/>
      <c r="E654" s="282"/>
      <c r="F654" s="282"/>
      <c r="G654" s="282"/>
      <c r="H654" s="282"/>
      <c r="I654" s="282"/>
      <c r="J654" s="282"/>
      <c r="K654" s="282"/>
      <c r="L654" s="282"/>
      <c r="M654" s="282"/>
      <c r="N654" s="282"/>
      <c r="O654" s="282"/>
      <c r="P654" s="282"/>
      <c r="Q654" s="282"/>
      <c r="R654" s="282"/>
      <c r="S654" s="282"/>
      <c r="T654" s="282"/>
      <c r="U654" s="282"/>
      <c r="V654" s="282"/>
      <c r="W654" s="282"/>
      <c r="X654" s="282"/>
    </row>
    <row r="655" customFormat="false" ht="14.25" hidden="false" customHeight="false" outlineLevel="0" collapsed="false">
      <c r="A655" s="282"/>
      <c r="B655" s="282"/>
      <c r="C655" s="282"/>
      <c r="D655" s="282"/>
      <c r="E655" s="282"/>
      <c r="F655" s="282"/>
      <c r="G655" s="282"/>
      <c r="H655" s="282"/>
      <c r="I655" s="282"/>
      <c r="J655" s="282"/>
      <c r="K655" s="282"/>
      <c r="L655" s="282"/>
      <c r="M655" s="282"/>
      <c r="N655" s="282"/>
      <c r="O655" s="282"/>
      <c r="P655" s="282"/>
      <c r="Q655" s="282"/>
      <c r="R655" s="282"/>
      <c r="S655" s="282"/>
      <c r="T655" s="282"/>
      <c r="U655" s="282"/>
      <c r="V655" s="282"/>
      <c r="W655" s="282"/>
      <c r="X655" s="282"/>
    </row>
    <row r="656" customFormat="false" ht="14.25" hidden="false" customHeight="false" outlineLevel="0" collapsed="false">
      <c r="A656" s="282"/>
      <c r="B656" s="282"/>
      <c r="C656" s="282"/>
      <c r="D656" s="282"/>
      <c r="E656" s="282"/>
      <c r="F656" s="282"/>
      <c r="G656" s="282"/>
      <c r="H656" s="282"/>
      <c r="I656" s="282"/>
      <c r="J656" s="282"/>
      <c r="K656" s="282"/>
      <c r="L656" s="282"/>
      <c r="M656" s="282"/>
      <c r="N656" s="282"/>
      <c r="O656" s="282"/>
      <c r="P656" s="282"/>
      <c r="Q656" s="282"/>
      <c r="R656" s="282"/>
      <c r="S656" s="282"/>
      <c r="T656" s="282"/>
      <c r="U656" s="282"/>
      <c r="V656" s="282"/>
      <c r="W656" s="282"/>
      <c r="X656" s="282"/>
    </row>
    <row r="657" customFormat="false" ht="14.25" hidden="false" customHeight="false" outlineLevel="0" collapsed="false">
      <c r="A657" s="282"/>
      <c r="B657" s="282"/>
      <c r="C657" s="282"/>
      <c r="D657" s="282"/>
      <c r="E657" s="282"/>
      <c r="F657" s="282"/>
      <c r="G657" s="282"/>
      <c r="H657" s="282"/>
      <c r="I657" s="282"/>
      <c r="J657" s="282"/>
      <c r="K657" s="282"/>
      <c r="L657" s="282"/>
      <c r="M657" s="282"/>
      <c r="N657" s="282"/>
      <c r="O657" s="282"/>
      <c r="P657" s="282"/>
      <c r="Q657" s="282"/>
      <c r="R657" s="282"/>
      <c r="S657" s="282"/>
      <c r="T657" s="282"/>
      <c r="U657" s="282"/>
      <c r="V657" s="282"/>
      <c r="W657" s="282"/>
      <c r="X657" s="282"/>
    </row>
    <row r="658" customFormat="false" ht="14.25" hidden="false" customHeight="false" outlineLevel="0" collapsed="false">
      <c r="A658" s="282"/>
      <c r="B658" s="282"/>
      <c r="C658" s="282"/>
      <c r="D658" s="282"/>
      <c r="E658" s="282"/>
      <c r="F658" s="282"/>
      <c r="G658" s="282"/>
      <c r="H658" s="282"/>
      <c r="I658" s="282"/>
      <c r="J658" s="282"/>
      <c r="K658" s="282"/>
      <c r="L658" s="282"/>
      <c r="M658" s="282"/>
      <c r="N658" s="282"/>
      <c r="O658" s="282"/>
      <c r="P658" s="282"/>
      <c r="Q658" s="282"/>
      <c r="R658" s="282"/>
      <c r="S658" s="282"/>
      <c r="T658" s="282"/>
      <c r="U658" s="282"/>
      <c r="V658" s="282"/>
      <c r="W658" s="282"/>
      <c r="X658" s="282"/>
    </row>
    <row r="659" customFormat="false" ht="14.25" hidden="false" customHeight="false" outlineLevel="0" collapsed="false">
      <c r="A659" s="282"/>
      <c r="B659" s="282"/>
      <c r="C659" s="282"/>
      <c r="D659" s="282"/>
      <c r="E659" s="282"/>
      <c r="F659" s="282"/>
      <c r="G659" s="282"/>
      <c r="H659" s="282"/>
      <c r="I659" s="282"/>
      <c r="J659" s="282"/>
      <c r="K659" s="282"/>
      <c r="L659" s="282"/>
      <c r="M659" s="282"/>
      <c r="N659" s="282"/>
      <c r="O659" s="282"/>
      <c r="P659" s="282"/>
      <c r="Q659" s="282"/>
      <c r="R659" s="282"/>
      <c r="S659" s="282"/>
      <c r="T659" s="282"/>
      <c r="U659" s="282"/>
      <c r="V659" s="282"/>
      <c r="W659" s="282"/>
      <c r="X659" s="282"/>
    </row>
    <row r="660" customFormat="false" ht="14.25" hidden="false" customHeight="false" outlineLevel="0" collapsed="false">
      <c r="A660" s="282"/>
      <c r="B660" s="282"/>
      <c r="C660" s="282"/>
      <c r="D660" s="282"/>
      <c r="E660" s="282"/>
      <c r="F660" s="282"/>
      <c r="G660" s="282"/>
      <c r="H660" s="282"/>
      <c r="I660" s="282"/>
      <c r="J660" s="282"/>
      <c r="K660" s="282"/>
      <c r="L660" s="282"/>
      <c r="M660" s="282"/>
      <c r="N660" s="282"/>
      <c r="O660" s="282"/>
      <c r="P660" s="282"/>
      <c r="Q660" s="282"/>
      <c r="R660" s="282"/>
      <c r="S660" s="282"/>
      <c r="T660" s="282"/>
      <c r="U660" s="282"/>
      <c r="V660" s="282"/>
      <c r="W660" s="282"/>
      <c r="X660" s="282"/>
    </row>
    <row r="661" customFormat="false" ht="14.25" hidden="false" customHeight="false" outlineLevel="0" collapsed="false">
      <c r="A661" s="282"/>
      <c r="B661" s="282"/>
      <c r="C661" s="282"/>
      <c r="D661" s="282"/>
      <c r="E661" s="282"/>
      <c r="F661" s="282"/>
      <c r="G661" s="282"/>
      <c r="H661" s="282"/>
      <c r="I661" s="282"/>
      <c r="J661" s="282"/>
      <c r="K661" s="282"/>
      <c r="L661" s="282"/>
      <c r="M661" s="282"/>
      <c r="N661" s="282"/>
      <c r="O661" s="282"/>
      <c r="P661" s="282"/>
      <c r="Q661" s="282"/>
      <c r="R661" s="282"/>
      <c r="S661" s="282"/>
      <c r="T661" s="282"/>
      <c r="U661" s="282"/>
      <c r="V661" s="282"/>
      <c r="W661" s="282"/>
      <c r="X661" s="282"/>
    </row>
    <row r="662" customFormat="false" ht="14.25" hidden="false" customHeight="false" outlineLevel="0" collapsed="false">
      <c r="A662" s="282"/>
      <c r="B662" s="282"/>
      <c r="C662" s="282"/>
      <c r="D662" s="282"/>
      <c r="E662" s="282"/>
      <c r="F662" s="282"/>
      <c r="G662" s="282"/>
      <c r="H662" s="282"/>
      <c r="I662" s="282"/>
      <c r="J662" s="282"/>
      <c r="K662" s="282"/>
      <c r="L662" s="282"/>
      <c r="M662" s="282"/>
      <c r="N662" s="282"/>
      <c r="O662" s="282"/>
      <c r="P662" s="282"/>
      <c r="Q662" s="282"/>
      <c r="R662" s="282"/>
      <c r="S662" s="282"/>
      <c r="T662" s="282"/>
      <c r="U662" s="282"/>
      <c r="V662" s="282"/>
      <c r="W662" s="282"/>
      <c r="X662" s="282"/>
    </row>
    <row r="663" customFormat="false" ht="14.25" hidden="false" customHeight="false" outlineLevel="0" collapsed="false">
      <c r="A663" s="282"/>
      <c r="B663" s="282"/>
      <c r="C663" s="282"/>
      <c r="D663" s="282"/>
      <c r="E663" s="282"/>
      <c r="F663" s="282"/>
      <c r="G663" s="282"/>
      <c r="H663" s="282"/>
      <c r="I663" s="282"/>
      <c r="J663" s="282"/>
      <c r="K663" s="282"/>
      <c r="L663" s="282"/>
      <c r="M663" s="282"/>
      <c r="N663" s="282"/>
      <c r="O663" s="282"/>
      <c r="P663" s="282"/>
      <c r="Q663" s="282"/>
      <c r="R663" s="282"/>
      <c r="S663" s="282"/>
      <c r="T663" s="282"/>
      <c r="U663" s="282"/>
      <c r="V663" s="282"/>
      <c r="W663" s="282"/>
      <c r="X663" s="282"/>
    </row>
    <row r="664" customFormat="false" ht="14.25" hidden="false" customHeight="false" outlineLevel="0" collapsed="false">
      <c r="A664" s="282"/>
      <c r="B664" s="282"/>
      <c r="C664" s="282"/>
      <c r="D664" s="282"/>
      <c r="E664" s="282"/>
      <c r="F664" s="282"/>
      <c r="G664" s="282"/>
      <c r="H664" s="282"/>
      <c r="I664" s="282"/>
      <c r="J664" s="282"/>
      <c r="K664" s="282"/>
      <c r="L664" s="282"/>
      <c r="M664" s="282"/>
      <c r="N664" s="282"/>
      <c r="O664" s="282"/>
      <c r="P664" s="282"/>
      <c r="Q664" s="282"/>
      <c r="R664" s="282"/>
      <c r="S664" s="282"/>
      <c r="T664" s="282"/>
      <c r="U664" s="282"/>
      <c r="V664" s="282"/>
      <c r="W664" s="282"/>
      <c r="X664" s="282"/>
    </row>
    <row r="665" customFormat="false" ht="14.25" hidden="false" customHeight="false" outlineLevel="0" collapsed="false">
      <c r="A665" s="282"/>
      <c r="B665" s="282"/>
      <c r="C665" s="282"/>
      <c r="D665" s="282"/>
      <c r="E665" s="282"/>
      <c r="F665" s="282"/>
      <c r="G665" s="282"/>
      <c r="H665" s="282"/>
      <c r="I665" s="282"/>
      <c r="J665" s="282"/>
      <c r="K665" s="282"/>
      <c r="L665" s="282"/>
      <c r="M665" s="282"/>
      <c r="N665" s="282"/>
      <c r="O665" s="282"/>
      <c r="P665" s="282"/>
      <c r="Q665" s="282"/>
      <c r="R665" s="282"/>
      <c r="S665" s="282"/>
      <c r="T665" s="282"/>
      <c r="U665" s="282"/>
      <c r="V665" s="282"/>
      <c r="W665" s="282"/>
      <c r="X665" s="282"/>
    </row>
    <row r="666" customFormat="false" ht="14.25" hidden="false" customHeight="false" outlineLevel="0" collapsed="false">
      <c r="A666" s="282"/>
      <c r="B666" s="282"/>
      <c r="C666" s="282"/>
      <c r="D666" s="282"/>
      <c r="E666" s="282"/>
      <c r="F666" s="282"/>
      <c r="G666" s="282"/>
      <c r="H666" s="282"/>
      <c r="I666" s="282"/>
      <c r="J666" s="282"/>
      <c r="K666" s="282"/>
      <c r="L666" s="282"/>
      <c r="M666" s="282"/>
      <c r="N666" s="282"/>
      <c r="O666" s="282"/>
      <c r="P666" s="282"/>
      <c r="Q666" s="282"/>
      <c r="R666" s="282"/>
      <c r="S666" s="282"/>
      <c r="T666" s="282"/>
      <c r="U666" s="282"/>
      <c r="V666" s="282"/>
      <c r="W666" s="282"/>
      <c r="X666" s="282"/>
    </row>
    <row r="667" customFormat="false" ht="14.25" hidden="false" customHeight="false" outlineLevel="0" collapsed="false">
      <c r="A667" s="282"/>
      <c r="B667" s="282"/>
      <c r="C667" s="282"/>
      <c r="D667" s="282"/>
      <c r="E667" s="282"/>
      <c r="F667" s="282"/>
      <c r="G667" s="282"/>
      <c r="H667" s="282"/>
      <c r="I667" s="282"/>
      <c r="J667" s="282"/>
      <c r="K667" s="282"/>
      <c r="L667" s="282"/>
      <c r="M667" s="282"/>
      <c r="N667" s="282"/>
      <c r="O667" s="282"/>
      <c r="P667" s="282"/>
      <c r="Q667" s="282"/>
      <c r="R667" s="282"/>
      <c r="S667" s="282"/>
      <c r="T667" s="282"/>
      <c r="U667" s="282"/>
      <c r="V667" s="282"/>
      <c r="W667" s="282"/>
      <c r="X667" s="282"/>
    </row>
    <row r="668" customFormat="false" ht="14.25" hidden="false" customHeight="false" outlineLevel="0" collapsed="false">
      <c r="A668" s="282"/>
      <c r="B668" s="282"/>
      <c r="C668" s="282"/>
      <c r="D668" s="282"/>
      <c r="E668" s="282"/>
      <c r="F668" s="282"/>
      <c r="G668" s="282"/>
      <c r="H668" s="282"/>
      <c r="I668" s="282"/>
      <c r="J668" s="282"/>
      <c r="K668" s="282"/>
      <c r="L668" s="282"/>
      <c r="M668" s="282"/>
      <c r="N668" s="282"/>
      <c r="O668" s="282"/>
      <c r="P668" s="282"/>
      <c r="Q668" s="282"/>
      <c r="R668" s="282"/>
      <c r="S668" s="282"/>
      <c r="T668" s="282"/>
      <c r="U668" s="282"/>
      <c r="V668" s="282"/>
      <c r="W668" s="282"/>
      <c r="X668" s="282"/>
    </row>
    <row r="669" customFormat="false" ht="14.25" hidden="false" customHeight="false" outlineLevel="0" collapsed="false">
      <c r="A669" s="282"/>
      <c r="B669" s="282"/>
      <c r="C669" s="282"/>
      <c r="D669" s="282"/>
      <c r="E669" s="282"/>
      <c r="F669" s="282"/>
      <c r="G669" s="282"/>
      <c r="H669" s="282"/>
      <c r="I669" s="282"/>
      <c r="J669" s="282"/>
      <c r="K669" s="282"/>
      <c r="L669" s="282"/>
      <c r="M669" s="282"/>
      <c r="N669" s="282"/>
      <c r="O669" s="282"/>
      <c r="P669" s="282"/>
      <c r="Q669" s="282"/>
      <c r="R669" s="282"/>
      <c r="S669" s="282"/>
      <c r="T669" s="282"/>
      <c r="U669" s="282"/>
      <c r="V669" s="282"/>
      <c r="W669" s="282"/>
      <c r="X669" s="282"/>
    </row>
    <row r="670" customFormat="false" ht="14.25" hidden="false" customHeight="false" outlineLevel="0" collapsed="false">
      <c r="A670" s="282"/>
      <c r="B670" s="282"/>
      <c r="C670" s="282"/>
      <c r="D670" s="282"/>
      <c r="E670" s="282"/>
      <c r="F670" s="282"/>
      <c r="G670" s="282"/>
      <c r="H670" s="282"/>
      <c r="I670" s="282"/>
      <c r="J670" s="282"/>
      <c r="K670" s="282"/>
      <c r="L670" s="282"/>
      <c r="M670" s="282"/>
      <c r="N670" s="282"/>
      <c r="O670" s="282"/>
      <c r="P670" s="282"/>
      <c r="Q670" s="282"/>
      <c r="R670" s="282"/>
      <c r="S670" s="282"/>
      <c r="T670" s="282"/>
      <c r="U670" s="282"/>
      <c r="V670" s="282"/>
      <c r="W670" s="282"/>
      <c r="X670" s="282"/>
    </row>
    <row r="671" customFormat="false" ht="14.25" hidden="false" customHeight="false" outlineLevel="0" collapsed="false">
      <c r="A671" s="282"/>
      <c r="B671" s="282"/>
      <c r="C671" s="282"/>
      <c r="D671" s="282"/>
      <c r="E671" s="282"/>
      <c r="F671" s="282"/>
      <c r="G671" s="282"/>
      <c r="H671" s="282"/>
      <c r="I671" s="282"/>
      <c r="J671" s="282"/>
      <c r="K671" s="282"/>
      <c r="L671" s="282"/>
      <c r="M671" s="282"/>
      <c r="N671" s="282"/>
      <c r="O671" s="282"/>
      <c r="P671" s="282"/>
      <c r="Q671" s="282"/>
      <c r="R671" s="282"/>
      <c r="S671" s="282"/>
      <c r="T671" s="282"/>
      <c r="U671" s="282"/>
      <c r="V671" s="282"/>
      <c r="W671" s="282"/>
      <c r="X671" s="282"/>
    </row>
    <row r="672" customFormat="false" ht="14.25" hidden="false" customHeight="false" outlineLevel="0" collapsed="false">
      <c r="A672" s="282"/>
      <c r="B672" s="282"/>
      <c r="C672" s="282"/>
      <c r="D672" s="282"/>
      <c r="E672" s="282"/>
      <c r="F672" s="282"/>
      <c r="G672" s="282"/>
      <c r="H672" s="282"/>
      <c r="I672" s="282"/>
      <c r="J672" s="282"/>
      <c r="K672" s="282"/>
      <c r="L672" s="282"/>
      <c r="M672" s="282"/>
      <c r="N672" s="282"/>
      <c r="O672" s="282"/>
      <c r="P672" s="282"/>
      <c r="Q672" s="282"/>
      <c r="R672" s="282"/>
      <c r="S672" s="282"/>
      <c r="T672" s="282"/>
      <c r="U672" s="282"/>
      <c r="V672" s="282"/>
      <c r="W672" s="282"/>
      <c r="X672" s="282"/>
    </row>
    <row r="673" customFormat="false" ht="14.25" hidden="false" customHeight="false" outlineLevel="0" collapsed="false">
      <c r="A673" s="282"/>
      <c r="B673" s="282"/>
      <c r="C673" s="282"/>
      <c r="D673" s="282"/>
      <c r="E673" s="282"/>
      <c r="F673" s="282"/>
      <c r="G673" s="282"/>
      <c r="H673" s="282"/>
      <c r="I673" s="282"/>
      <c r="J673" s="282"/>
      <c r="K673" s="282"/>
      <c r="L673" s="282"/>
      <c r="M673" s="282"/>
      <c r="N673" s="282"/>
      <c r="O673" s="282"/>
      <c r="P673" s="282"/>
      <c r="Q673" s="282"/>
      <c r="R673" s="282"/>
      <c r="S673" s="282"/>
      <c r="T673" s="282"/>
      <c r="U673" s="282"/>
      <c r="V673" s="282"/>
      <c r="W673" s="282"/>
      <c r="X673" s="282"/>
    </row>
    <row r="674" customFormat="false" ht="14.25" hidden="false" customHeight="false" outlineLevel="0" collapsed="false">
      <c r="A674" s="282"/>
      <c r="B674" s="282"/>
      <c r="C674" s="282"/>
      <c r="D674" s="282"/>
      <c r="E674" s="282"/>
      <c r="F674" s="282"/>
      <c r="G674" s="282"/>
      <c r="H674" s="282"/>
      <c r="I674" s="282"/>
      <c r="J674" s="282"/>
      <c r="K674" s="282"/>
      <c r="L674" s="282"/>
      <c r="M674" s="282"/>
      <c r="N674" s="282"/>
      <c r="O674" s="282"/>
      <c r="P674" s="282"/>
      <c r="Q674" s="282"/>
      <c r="R674" s="282"/>
      <c r="S674" s="282"/>
      <c r="T674" s="282"/>
      <c r="U674" s="282"/>
      <c r="V674" s="282"/>
      <c r="W674" s="282"/>
      <c r="X674" s="282"/>
    </row>
    <row r="675" customFormat="false" ht="14.25" hidden="false" customHeight="false" outlineLevel="0" collapsed="false">
      <c r="A675" s="282"/>
      <c r="B675" s="282"/>
      <c r="C675" s="282"/>
      <c r="D675" s="282"/>
      <c r="E675" s="282"/>
      <c r="F675" s="282"/>
      <c r="G675" s="282"/>
      <c r="H675" s="282"/>
      <c r="I675" s="282"/>
      <c r="J675" s="282"/>
      <c r="K675" s="282"/>
      <c r="L675" s="282"/>
      <c r="M675" s="282"/>
      <c r="N675" s="282"/>
      <c r="O675" s="282"/>
      <c r="P675" s="282"/>
      <c r="Q675" s="282"/>
      <c r="R675" s="282"/>
      <c r="S675" s="282"/>
      <c r="T675" s="282"/>
      <c r="U675" s="282"/>
      <c r="V675" s="282"/>
      <c r="W675" s="282"/>
      <c r="X675" s="282"/>
    </row>
    <row r="676" customFormat="false" ht="14.25" hidden="false" customHeight="false" outlineLevel="0" collapsed="false">
      <c r="A676" s="282"/>
      <c r="B676" s="282"/>
      <c r="C676" s="282"/>
      <c r="D676" s="282"/>
      <c r="E676" s="282"/>
      <c r="F676" s="282"/>
      <c r="G676" s="282"/>
      <c r="H676" s="282"/>
      <c r="I676" s="282"/>
      <c r="J676" s="282"/>
      <c r="K676" s="282"/>
      <c r="L676" s="282"/>
      <c r="M676" s="282"/>
      <c r="N676" s="282"/>
      <c r="O676" s="282"/>
      <c r="P676" s="282"/>
      <c r="Q676" s="282"/>
      <c r="R676" s="282"/>
      <c r="S676" s="282"/>
      <c r="T676" s="282"/>
      <c r="U676" s="282"/>
      <c r="V676" s="282"/>
      <c r="W676" s="282"/>
      <c r="X676" s="282"/>
    </row>
    <row r="677" customFormat="false" ht="14.25" hidden="false" customHeight="false" outlineLevel="0" collapsed="false">
      <c r="A677" s="282"/>
      <c r="B677" s="282"/>
      <c r="C677" s="282"/>
      <c r="D677" s="282"/>
      <c r="E677" s="282"/>
      <c r="F677" s="282"/>
      <c r="G677" s="282"/>
      <c r="H677" s="282"/>
      <c r="I677" s="282"/>
      <c r="J677" s="282"/>
      <c r="K677" s="282"/>
      <c r="L677" s="282"/>
      <c r="M677" s="282"/>
      <c r="N677" s="282"/>
      <c r="O677" s="282"/>
      <c r="P677" s="282"/>
      <c r="Q677" s="282"/>
      <c r="R677" s="282"/>
      <c r="S677" s="282"/>
      <c r="T677" s="282"/>
      <c r="U677" s="282"/>
      <c r="V677" s="282"/>
      <c r="W677" s="282"/>
      <c r="X677" s="282"/>
    </row>
    <row r="678" customFormat="false" ht="14.25" hidden="false" customHeight="false" outlineLevel="0" collapsed="false">
      <c r="A678" s="282"/>
      <c r="B678" s="282"/>
      <c r="C678" s="282"/>
      <c r="D678" s="282"/>
      <c r="E678" s="282"/>
      <c r="F678" s="282"/>
      <c r="G678" s="282"/>
      <c r="H678" s="282"/>
      <c r="I678" s="282"/>
      <c r="J678" s="282"/>
      <c r="K678" s="282"/>
      <c r="L678" s="282"/>
      <c r="M678" s="282"/>
      <c r="N678" s="282"/>
      <c r="O678" s="282"/>
      <c r="P678" s="282"/>
      <c r="Q678" s="282"/>
      <c r="R678" s="282"/>
      <c r="S678" s="282"/>
      <c r="T678" s="282"/>
      <c r="U678" s="282"/>
      <c r="V678" s="282"/>
      <c r="W678" s="282"/>
      <c r="X678" s="282"/>
    </row>
    <row r="679" customFormat="false" ht="14.25" hidden="false" customHeight="false" outlineLevel="0" collapsed="false">
      <c r="A679" s="282"/>
      <c r="B679" s="282"/>
      <c r="C679" s="282"/>
      <c r="D679" s="282"/>
      <c r="E679" s="282"/>
      <c r="F679" s="282"/>
      <c r="G679" s="282"/>
      <c r="H679" s="282"/>
      <c r="I679" s="282"/>
      <c r="J679" s="282"/>
      <c r="K679" s="282"/>
      <c r="L679" s="282"/>
      <c r="M679" s="282"/>
      <c r="N679" s="282"/>
      <c r="O679" s="282"/>
      <c r="P679" s="282"/>
      <c r="Q679" s="282"/>
      <c r="R679" s="282"/>
      <c r="S679" s="282"/>
      <c r="T679" s="282"/>
      <c r="U679" s="282"/>
      <c r="V679" s="282"/>
      <c r="W679" s="282"/>
      <c r="X679" s="282"/>
    </row>
    <row r="680" customFormat="false" ht="14.25" hidden="false" customHeight="false" outlineLevel="0" collapsed="false">
      <c r="A680" s="282"/>
      <c r="B680" s="282"/>
      <c r="C680" s="282"/>
      <c r="D680" s="282"/>
      <c r="E680" s="282"/>
      <c r="F680" s="282"/>
      <c r="G680" s="282"/>
      <c r="H680" s="282"/>
      <c r="I680" s="282"/>
      <c r="J680" s="282"/>
      <c r="K680" s="282"/>
      <c r="L680" s="282"/>
      <c r="M680" s="282"/>
      <c r="N680" s="282"/>
      <c r="O680" s="282"/>
      <c r="P680" s="282"/>
      <c r="Q680" s="282"/>
      <c r="R680" s="282"/>
      <c r="S680" s="282"/>
      <c r="T680" s="282"/>
      <c r="U680" s="282"/>
      <c r="V680" s="282"/>
      <c r="W680" s="282"/>
      <c r="X680" s="282"/>
    </row>
    <row r="681" customFormat="false" ht="14.25" hidden="false" customHeight="false" outlineLevel="0" collapsed="false">
      <c r="A681" s="282"/>
      <c r="B681" s="282"/>
      <c r="C681" s="282"/>
      <c r="D681" s="282"/>
      <c r="E681" s="282"/>
      <c r="F681" s="282"/>
      <c r="G681" s="282"/>
      <c r="H681" s="282"/>
      <c r="I681" s="282"/>
      <c r="J681" s="282"/>
      <c r="K681" s="282"/>
      <c r="L681" s="282"/>
      <c r="M681" s="282"/>
      <c r="N681" s="282"/>
      <c r="O681" s="282"/>
      <c r="P681" s="282"/>
      <c r="Q681" s="282"/>
      <c r="R681" s="282"/>
      <c r="S681" s="282"/>
      <c r="T681" s="282"/>
      <c r="U681" s="282"/>
      <c r="V681" s="282"/>
      <c r="W681" s="282"/>
      <c r="X681" s="282"/>
    </row>
    <row r="682" customFormat="false" ht="14.25" hidden="false" customHeight="false" outlineLevel="0" collapsed="false">
      <c r="A682" s="282"/>
      <c r="B682" s="282"/>
      <c r="C682" s="282"/>
      <c r="D682" s="282"/>
      <c r="E682" s="282"/>
      <c r="F682" s="282"/>
      <c r="G682" s="282"/>
      <c r="H682" s="282"/>
      <c r="I682" s="282"/>
      <c r="J682" s="282"/>
      <c r="K682" s="282"/>
      <c r="L682" s="282"/>
      <c r="M682" s="282"/>
      <c r="N682" s="282"/>
      <c r="O682" s="282"/>
      <c r="P682" s="282"/>
      <c r="Q682" s="282"/>
      <c r="R682" s="282"/>
      <c r="S682" s="282"/>
      <c r="T682" s="282"/>
      <c r="U682" s="282"/>
      <c r="V682" s="282"/>
      <c r="W682" s="282"/>
      <c r="X682" s="282"/>
    </row>
    <row r="683" customFormat="false" ht="14.25" hidden="false" customHeight="false" outlineLevel="0" collapsed="false">
      <c r="A683" s="282"/>
      <c r="B683" s="282"/>
      <c r="C683" s="282"/>
      <c r="D683" s="282"/>
      <c r="E683" s="282"/>
      <c r="F683" s="282"/>
      <c r="G683" s="282"/>
      <c r="H683" s="282"/>
      <c r="I683" s="282"/>
      <c r="J683" s="282"/>
      <c r="K683" s="282"/>
      <c r="L683" s="282"/>
      <c r="M683" s="282"/>
      <c r="N683" s="282"/>
      <c r="O683" s="282"/>
      <c r="P683" s="282"/>
      <c r="Q683" s="282"/>
      <c r="R683" s="282"/>
      <c r="S683" s="282"/>
      <c r="T683" s="282"/>
      <c r="U683" s="282"/>
      <c r="V683" s="282"/>
      <c r="W683" s="282"/>
      <c r="X683" s="282"/>
    </row>
    <row r="684" customFormat="false" ht="14.25" hidden="false" customHeight="false" outlineLevel="0" collapsed="false">
      <c r="A684" s="282"/>
      <c r="B684" s="282"/>
      <c r="C684" s="282"/>
      <c r="D684" s="282"/>
      <c r="E684" s="282"/>
      <c r="F684" s="282"/>
      <c r="G684" s="282"/>
      <c r="H684" s="282"/>
      <c r="I684" s="282"/>
      <c r="J684" s="282"/>
      <c r="K684" s="282"/>
      <c r="L684" s="282"/>
      <c r="M684" s="282"/>
      <c r="N684" s="282"/>
      <c r="O684" s="282"/>
      <c r="P684" s="282"/>
      <c r="Q684" s="282"/>
      <c r="R684" s="282"/>
      <c r="S684" s="282"/>
      <c r="T684" s="282"/>
      <c r="U684" s="282"/>
      <c r="V684" s="282"/>
      <c r="W684" s="282"/>
      <c r="X684" s="282"/>
    </row>
    <row r="685" customFormat="false" ht="14.25" hidden="false" customHeight="false" outlineLevel="0" collapsed="false">
      <c r="A685" s="282"/>
      <c r="B685" s="282"/>
      <c r="C685" s="282"/>
      <c r="D685" s="282"/>
      <c r="E685" s="282"/>
      <c r="F685" s="282"/>
      <c r="G685" s="282"/>
      <c r="H685" s="282"/>
      <c r="I685" s="282"/>
      <c r="J685" s="282"/>
      <c r="K685" s="282"/>
      <c r="L685" s="282"/>
      <c r="M685" s="282"/>
      <c r="N685" s="282"/>
      <c r="O685" s="282"/>
      <c r="P685" s="282"/>
      <c r="Q685" s="282"/>
      <c r="R685" s="282"/>
      <c r="S685" s="282"/>
      <c r="T685" s="282"/>
      <c r="U685" s="282"/>
      <c r="V685" s="282"/>
      <c r="W685" s="282"/>
      <c r="X685" s="282"/>
    </row>
    <row r="686" customFormat="false" ht="14.25" hidden="false" customHeight="false" outlineLevel="0" collapsed="false">
      <c r="A686" s="282"/>
      <c r="B686" s="282"/>
      <c r="C686" s="282"/>
      <c r="D686" s="282"/>
      <c r="E686" s="282"/>
      <c r="F686" s="282"/>
      <c r="G686" s="282"/>
      <c r="H686" s="282"/>
      <c r="I686" s="282"/>
      <c r="J686" s="282"/>
      <c r="K686" s="282"/>
      <c r="L686" s="282"/>
      <c r="M686" s="282"/>
      <c r="N686" s="282"/>
      <c r="O686" s="282"/>
      <c r="P686" s="282"/>
      <c r="Q686" s="282"/>
      <c r="R686" s="282"/>
      <c r="S686" s="282"/>
      <c r="T686" s="282"/>
      <c r="U686" s="282"/>
      <c r="V686" s="282"/>
      <c r="W686" s="282"/>
      <c r="X686" s="282"/>
    </row>
    <row r="687" customFormat="false" ht="14.25" hidden="false" customHeight="false" outlineLevel="0" collapsed="false">
      <c r="A687" s="282"/>
      <c r="B687" s="282"/>
      <c r="C687" s="282"/>
      <c r="D687" s="282"/>
      <c r="E687" s="282"/>
      <c r="F687" s="282"/>
      <c r="G687" s="282"/>
      <c r="H687" s="282"/>
      <c r="I687" s="282"/>
      <c r="J687" s="282"/>
      <c r="K687" s="282"/>
      <c r="L687" s="282"/>
      <c r="M687" s="282"/>
      <c r="N687" s="282"/>
      <c r="O687" s="282"/>
      <c r="P687" s="282"/>
      <c r="Q687" s="282"/>
      <c r="R687" s="282"/>
      <c r="S687" s="282"/>
      <c r="T687" s="282"/>
      <c r="U687" s="282"/>
      <c r="V687" s="282"/>
      <c r="W687" s="282"/>
      <c r="X687" s="282"/>
    </row>
    <row r="688" customFormat="false" ht="14.25" hidden="false" customHeight="false" outlineLevel="0" collapsed="false">
      <c r="A688" s="282"/>
      <c r="B688" s="282"/>
      <c r="C688" s="282"/>
      <c r="D688" s="282"/>
      <c r="E688" s="282"/>
      <c r="F688" s="282"/>
      <c r="G688" s="282"/>
      <c r="H688" s="282"/>
      <c r="I688" s="282"/>
      <c r="J688" s="282"/>
      <c r="K688" s="282"/>
      <c r="L688" s="282"/>
      <c r="M688" s="282"/>
      <c r="N688" s="282"/>
      <c r="O688" s="282"/>
      <c r="P688" s="282"/>
      <c r="Q688" s="282"/>
      <c r="R688" s="282"/>
      <c r="S688" s="282"/>
      <c r="T688" s="282"/>
      <c r="U688" s="282"/>
      <c r="V688" s="282"/>
      <c r="W688" s="282"/>
      <c r="X688" s="282"/>
    </row>
    <row r="689" customFormat="false" ht="14.25" hidden="false" customHeight="false" outlineLevel="0" collapsed="false">
      <c r="A689" s="282"/>
      <c r="B689" s="282"/>
      <c r="C689" s="282"/>
      <c r="D689" s="282"/>
      <c r="E689" s="282"/>
      <c r="F689" s="282"/>
      <c r="G689" s="282"/>
      <c r="H689" s="282"/>
      <c r="I689" s="282"/>
      <c r="J689" s="282"/>
      <c r="K689" s="282"/>
      <c r="L689" s="282"/>
      <c r="M689" s="282"/>
      <c r="N689" s="282"/>
      <c r="O689" s="282"/>
      <c r="P689" s="282"/>
      <c r="Q689" s="282"/>
      <c r="R689" s="282"/>
      <c r="S689" s="282"/>
      <c r="T689" s="282"/>
      <c r="U689" s="282"/>
      <c r="V689" s="282"/>
      <c r="W689" s="282"/>
      <c r="X689" s="282"/>
    </row>
    <row r="690" customFormat="false" ht="14.25" hidden="false" customHeight="false" outlineLevel="0" collapsed="false">
      <c r="A690" s="282"/>
      <c r="B690" s="282"/>
      <c r="C690" s="282"/>
      <c r="D690" s="282"/>
      <c r="E690" s="282"/>
      <c r="F690" s="282"/>
      <c r="G690" s="282"/>
      <c r="H690" s="282"/>
      <c r="I690" s="282"/>
      <c r="J690" s="282"/>
      <c r="K690" s="282"/>
      <c r="L690" s="282"/>
      <c r="M690" s="282"/>
      <c r="N690" s="282"/>
      <c r="O690" s="282"/>
      <c r="P690" s="282"/>
      <c r="Q690" s="282"/>
      <c r="R690" s="282"/>
      <c r="S690" s="282"/>
      <c r="T690" s="282"/>
      <c r="U690" s="282"/>
      <c r="V690" s="282"/>
      <c r="W690" s="282"/>
      <c r="X690" s="282"/>
    </row>
    <row r="691" customFormat="false" ht="14.25" hidden="false" customHeight="false" outlineLevel="0" collapsed="false">
      <c r="A691" s="282"/>
      <c r="B691" s="282"/>
      <c r="C691" s="282"/>
      <c r="D691" s="282"/>
      <c r="E691" s="282"/>
      <c r="F691" s="282"/>
      <c r="G691" s="282"/>
      <c r="H691" s="282"/>
      <c r="I691" s="282"/>
      <c r="J691" s="282"/>
      <c r="K691" s="282"/>
      <c r="L691" s="282"/>
      <c r="M691" s="282"/>
      <c r="N691" s="282"/>
      <c r="O691" s="282"/>
      <c r="P691" s="282"/>
      <c r="Q691" s="282"/>
      <c r="R691" s="282"/>
      <c r="S691" s="282"/>
      <c r="T691" s="282"/>
      <c r="U691" s="282"/>
      <c r="V691" s="282"/>
      <c r="W691" s="282"/>
      <c r="X691" s="282"/>
    </row>
    <row r="692" customFormat="false" ht="14.25" hidden="false" customHeight="false" outlineLevel="0" collapsed="false">
      <c r="A692" s="282"/>
      <c r="B692" s="282"/>
      <c r="C692" s="282"/>
      <c r="D692" s="282"/>
      <c r="E692" s="282"/>
      <c r="F692" s="282"/>
      <c r="G692" s="282"/>
      <c r="H692" s="282"/>
      <c r="I692" s="282"/>
      <c r="J692" s="282"/>
      <c r="K692" s="282"/>
      <c r="L692" s="282"/>
      <c r="M692" s="282"/>
      <c r="N692" s="282"/>
      <c r="O692" s="282"/>
      <c r="P692" s="282"/>
      <c r="Q692" s="282"/>
      <c r="R692" s="282"/>
      <c r="S692" s="282"/>
      <c r="T692" s="282"/>
      <c r="U692" s="282"/>
      <c r="V692" s="282"/>
      <c r="W692" s="282"/>
      <c r="X692" s="282"/>
    </row>
    <row r="693" customFormat="false" ht="14.25" hidden="false" customHeight="false" outlineLevel="0" collapsed="false">
      <c r="A693" s="282"/>
      <c r="B693" s="282"/>
      <c r="C693" s="282"/>
      <c r="D693" s="282"/>
      <c r="E693" s="282"/>
      <c r="F693" s="282"/>
      <c r="G693" s="282"/>
      <c r="H693" s="282"/>
      <c r="I693" s="282"/>
      <c r="J693" s="282"/>
      <c r="K693" s="282"/>
      <c r="L693" s="282"/>
      <c r="M693" s="282"/>
      <c r="N693" s="282"/>
      <c r="O693" s="282"/>
      <c r="P693" s="282"/>
      <c r="Q693" s="282"/>
      <c r="R693" s="282"/>
      <c r="S693" s="282"/>
      <c r="T693" s="282"/>
      <c r="U693" s="282"/>
      <c r="V693" s="282"/>
      <c r="W693" s="282"/>
      <c r="X693" s="282"/>
    </row>
    <row r="694" customFormat="false" ht="14.25" hidden="false" customHeight="false" outlineLevel="0" collapsed="false">
      <c r="A694" s="282"/>
      <c r="B694" s="282"/>
      <c r="C694" s="282"/>
      <c r="D694" s="282"/>
      <c r="E694" s="282"/>
      <c r="F694" s="282"/>
      <c r="G694" s="282"/>
      <c r="H694" s="282"/>
      <c r="I694" s="282"/>
      <c r="J694" s="282"/>
      <c r="K694" s="282"/>
      <c r="L694" s="282"/>
      <c r="M694" s="282"/>
      <c r="N694" s="282"/>
      <c r="O694" s="282"/>
      <c r="P694" s="282"/>
      <c r="Q694" s="282"/>
      <c r="R694" s="282"/>
      <c r="S694" s="282"/>
      <c r="T694" s="282"/>
      <c r="U694" s="282"/>
      <c r="V694" s="282"/>
      <c r="W694" s="282"/>
      <c r="X694" s="282"/>
    </row>
    <row r="695" customFormat="false" ht="14.25" hidden="false" customHeight="false" outlineLevel="0" collapsed="false">
      <c r="A695" s="282"/>
      <c r="B695" s="282"/>
      <c r="C695" s="282"/>
      <c r="D695" s="282"/>
      <c r="E695" s="282"/>
      <c r="F695" s="282"/>
      <c r="G695" s="282"/>
      <c r="H695" s="282"/>
      <c r="I695" s="282"/>
      <c r="J695" s="282"/>
      <c r="K695" s="282"/>
      <c r="L695" s="282"/>
      <c r="M695" s="282"/>
      <c r="N695" s="282"/>
      <c r="O695" s="282"/>
      <c r="P695" s="282"/>
      <c r="Q695" s="282"/>
      <c r="R695" s="282"/>
      <c r="S695" s="282"/>
      <c r="T695" s="282"/>
      <c r="U695" s="282"/>
      <c r="V695" s="282"/>
      <c r="W695" s="282"/>
      <c r="X695" s="282"/>
    </row>
    <row r="696" customFormat="false" ht="14.25" hidden="false" customHeight="false" outlineLevel="0" collapsed="false">
      <c r="A696" s="282"/>
      <c r="B696" s="282"/>
      <c r="C696" s="282"/>
      <c r="D696" s="282"/>
      <c r="E696" s="282"/>
      <c r="F696" s="282"/>
      <c r="G696" s="282"/>
      <c r="H696" s="282"/>
      <c r="I696" s="282"/>
      <c r="J696" s="282"/>
      <c r="K696" s="282"/>
      <c r="L696" s="282"/>
      <c r="M696" s="282"/>
      <c r="N696" s="282"/>
      <c r="O696" s="282"/>
      <c r="P696" s="282"/>
      <c r="Q696" s="282"/>
      <c r="R696" s="282"/>
      <c r="S696" s="282"/>
      <c r="T696" s="282"/>
      <c r="U696" s="282"/>
      <c r="V696" s="282"/>
      <c r="W696" s="282"/>
      <c r="X696" s="282"/>
    </row>
    <row r="697" customFormat="false" ht="14.25" hidden="false" customHeight="false" outlineLevel="0" collapsed="false">
      <c r="A697" s="282"/>
      <c r="B697" s="282"/>
      <c r="C697" s="282"/>
      <c r="D697" s="282"/>
      <c r="E697" s="282"/>
      <c r="F697" s="282"/>
      <c r="G697" s="282"/>
      <c r="H697" s="282"/>
      <c r="I697" s="282"/>
      <c r="J697" s="282"/>
      <c r="K697" s="282"/>
      <c r="L697" s="282"/>
      <c r="M697" s="282"/>
      <c r="N697" s="282"/>
      <c r="O697" s="282"/>
      <c r="P697" s="282"/>
      <c r="Q697" s="282"/>
      <c r="R697" s="282"/>
      <c r="S697" s="282"/>
      <c r="T697" s="282"/>
      <c r="U697" s="282"/>
      <c r="V697" s="282"/>
      <c r="W697" s="282"/>
      <c r="X697" s="282"/>
    </row>
    <row r="698" customFormat="false" ht="14.25" hidden="false" customHeight="false" outlineLevel="0" collapsed="false">
      <c r="A698" s="282"/>
      <c r="B698" s="282"/>
      <c r="C698" s="282"/>
      <c r="D698" s="282"/>
      <c r="E698" s="282"/>
      <c r="F698" s="282"/>
      <c r="G698" s="282"/>
      <c r="H698" s="282"/>
      <c r="I698" s="282"/>
      <c r="J698" s="282"/>
      <c r="K698" s="282"/>
      <c r="L698" s="282"/>
      <c r="M698" s="282"/>
      <c r="N698" s="282"/>
      <c r="O698" s="282"/>
      <c r="P698" s="282"/>
      <c r="Q698" s="282"/>
      <c r="R698" s="282"/>
      <c r="S698" s="282"/>
      <c r="T698" s="282"/>
      <c r="U698" s="282"/>
      <c r="V698" s="282"/>
      <c r="W698" s="282"/>
      <c r="X698" s="282"/>
    </row>
    <row r="699" customFormat="false" ht="14.25" hidden="false" customHeight="false" outlineLevel="0" collapsed="false">
      <c r="A699" s="282"/>
      <c r="B699" s="282"/>
      <c r="C699" s="282"/>
      <c r="D699" s="282"/>
      <c r="E699" s="282"/>
      <c r="F699" s="282"/>
      <c r="G699" s="282"/>
      <c r="H699" s="282"/>
      <c r="I699" s="282"/>
      <c r="J699" s="282"/>
      <c r="K699" s="282"/>
      <c r="L699" s="282"/>
      <c r="M699" s="282"/>
      <c r="N699" s="282"/>
      <c r="O699" s="282"/>
      <c r="P699" s="282"/>
      <c r="Q699" s="282"/>
      <c r="R699" s="282"/>
      <c r="S699" s="282"/>
      <c r="T699" s="282"/>
      <c r="U699" s="282"/>
      <c r="V699" s="282"/>
      <c r="W699" s="282"/>
      <c r="X699" s="282"/>
    </row>
    <row r="700" customFormat="false" ht="14.25" hidden="false" customHeight="false" outlineLevel="0" collapsed="false">
      <c r="A700" s="282"/>
      <c r="B700" s="282"/>
      <c r="C700" s="282"/>
      <c r="D700" s="282"/>
      <c r="E700" s="282"/>
      <c r="F700" s="282"/>
      <c r="G700" s="282"/>
      <c r="H700" s="282"/>
      <c r="I700" s="282"/>
      <c r="J700" s="282"/>
      <c r="K700" s="282"/>
      <c r="L700" s="282"/>
      <c r="M700" s="282"/>
      <c r="N700" s="282"/>
      <c r="O700" s="282"/>
      <c r="P700" s="282"/>
      <c r="Q700" s="282"/>
      <c r="R700" s="282"/>
      <c r="S700" s="282"/>
      <c r="T700" s="282"/>
      <c r="U700" s="282"/>
      <c r="V700" s="282"/>
      <c r="W700" s="282"/>
      <c r="X700" s="282"/>
    </row>
    <row r="701" customFormat="false" ht="14.25" hidden="false" customHeight="false" outlineLevel="0" collapsed="false">
      <c r="A701" s="282"/>
      <c r="B701" s="282"/>
      <c r="C701" s="282"/>
      <c r="D701" s="282"/>
      <c r="E701" s="282"/>
      <c r="F701" s="282"/>
      <c r="G701" s="282"/>
      <c r="H701" s="282"/>
      <c r="I701" s="282"/>
      <c r="J701" s="282"/>
      <c r="K701" s="282"/>
      <c r="L701" s="282"/>
      <c r="M701" s="282"/>
      <c r="N701" s="282"/>
      <c r="O701" s="282"/>
      <c r="P701" s="282"/>
      <c r="Q701" s="282"/>
      <c r="R701" s="282"/>
      <c r="S701" s="282"/>
      <c r="T701" s="282"/>
      <c r="U701" s="282"/>
      <c r="V701" s="282"/>
      <c r="W701" s="282"/>
      <c r="X701" s="282"/>
    </row>
    <row r="702" customFormat="false" ht="14.25" hidden="false" customHeight="false" outlineLevel="0" collapsed="false">
      <c r="A702" s="282"/>
      <c r="B702" s="282"/>
      <c r="C702" s="282"/>
      <c r="D702" s="282"/>
      <c r="E702" s="282"/>
      <c r="F702" s="282"/>
      <c r="G702" s="282"/>
      <c r="H702" s="282"/>
      <c r="I702" s="282"/>
      <c r="J702" s="282"/>
      <c r="K702" s="282"/>
      <c r="L702" s="282"/>
      <c r="M702" s="282"/>
      <c r="N702" s="282"/>
      <c r="O702" s="282"/>
      <c r="P702" s="282"/>
      <c r="Q702" s="282"/>
      <c r="R702" s="282"/>
      <c r="S702" s="282"/>
      <c r="T702" s="282"/>
      <c r="U702" s="282"/>
      <c r="V702" s="282"/>
      <c r="W702" s="282"/>
      <c r="X702" s="282"/>
    </row>
    <row r="703" customFormat="false" ht="14.25" hidden="false" customHeight="false" outlineLevel="0" collapsed="false">
      <c r="A703" s="282"/>
      <c r="B703" s="282"/>
      <c r="C703" s="282"/>
      <c r="D703" s="282"/>
      <c r="E703" s="282"/>
      <c r="F703" s="282"/>
      <c r="G703" s="282"/>
      <c r="H703" s="282"/>
      <c r="I703" s="282"/>
      <c r="J703" s="282"/>
      <c r="K703" s="282"/>
      <c r="L703" s="282"/>
      <c r="M703" s="282"/>
      <c r="N703" s="282"/>
      <c r="O703" s="282"/>
      <c r="P703" s="282"/>
      <c r="Q703" s="282"/>
      <c r="R703" s="282"/>
      <c r="S703" s="282"/>
      <c r="T703" s="282"/>
      <c r="U703" s="282"/>
      <c r="V703" s="282"/>
      <c r="W703" s="282"/>
      <c r="X703" s="282"/>
    </row>
    <row r="704" customFormat="false" ht="14.25" hidden="false" customHeight="false" outlineLevel="0" collapsed="false">
      <c r="A704" s="282"/>
      <c r="B704" s="282"/>
      <c r="C704" s="282"/>
      <c r="D704" s="282"/>
      <c r="E704" s="282"/>
      <c r="F704" s="282"/>
      <c r="G704" s="282"/>
      <c r="H704" s="282"/>
      <c r="I704" s="282"/>
      <c r="J704" s="282"/>
      <c r="K704" s="282"/>
      <c r="L704" s="282"/>
      <c r="M704" s="282"/>
      <c r="N704" s="282"/>
      <c r="O704" s="282"/>
      <c r="P704" s="282"/>
      <c r="Q704" s="282"/>
      <c r="R704" s="282"/>
      <c r="S704" s="282"/>
      <c r="T704" s="282"/>
      <c r="U704" s="282"/>
      <c r="V704" s="282"/>
      <c r="W704" s="282"/>
      <c r="X704" s="282"/>
    </row>
    <row r="705" customFormat="false" ht="14.25" hidden="false" customHeight="false" outlineLevel="0" collapsed="false">
      <c r="A705" s="282"/>
      <c r="B705" s="282"/>
      <c r="C705" s="282"/>
      <c r="D705" s="282"/>
      <c r="E705" s="282"/>
      <c r="F705" s="282"/>
      <c r="G705" s="282"/>
      <c r="H705" s="282"/>
      <c r="I705" s="282"/>
      <c r="J705" s="282"/>
      <c r="K705" s="282"/>
      <c r="L705" s="282"/>
      <c r="M705" s="282"/>
      <c r="N705" s="282"/>
      <c r="O705" s="282"/>
      <c r="P705" s="282"/>
      <c r="Q705" s="282"/>
      <c r="R705" s="282"/>
      <c r="S705" s="282"/>
      <c r="T705" s="282"/>
      <c r="U705" s="282"/>
      <c r="V705" s="282"/>
      <c r="W705" s="282"/>
      <c r="X705" s="282"/>
    </row>
    <row r="706" customFormat="false" ht="14.25" hidden="false" customHeight="false" outlineLevel="0" collapsed="false">
      <c r="A706" s="282"/>
      <c r="B706" s="282"/>
      <c r="C706" s="282"/>
      <c r="D706" s="282"/>
      <c r="E706" s="282"/>
      <c r="F706" s="282"/>
      <c r="G706" s="282"/>
      <c r="H706" s="282"/>
      <c r="I706" s="282"/>
      <c r="J706" s="282"/>
      <c r="K706" s="282"/>
      <c r="L706" s="282"/>
      <c r="M706" s="282"/>
      <c r="N706" s="282"/>
      <c r="O706" s="282"/>
      <c r="P706" s="282"/>
      <c r="Q706" s="282"/>
      <c r="R706" s="282"/>
      <c r="S706" s="282"/>
      <c r="T706" s="282"/>
      <c r="U706" s="282"/>
      <c r="V706" s="282"/>
      <c r="W706" s="282"/>
      <c r="X706" s="282"/>
    </row>
    <row r="707" customFormat="false" ht="14.25" hidden="false" customHeight="false" outlineLevel="0" collapsed="false">
      <c r="A707" s="282"/>
      <c r="B707" s="282"/>
      <c r="C707" s="282"/>
      <c r="D707" s="282"/>
      <c r="E707" s="282"/>
      <c r="F707" s="282"/>
      <c r="G707" s="282"/>
      <c r="H707" s="282"/>
      <c r="I707" s="282"/>
      <c r="J707" s="282"/>
      <c r="K707" s="282"/>
      <c r="L707" s="282"/>
      <c r="M707" s="282"/>
      <c r="N707" s="282"/>
      <c r="O707" s="282"/>
      <c r="P707" s="282"/>
      <c r="Q707" s="282"/>
      <c r="R707" s="282"/>
      <c r="S707" s="282"/>
      <c r="T707" s="282"/>
      <c r="U707" s="282"/>
      <c r="V707" s="282"/>
      <c r="W707" s="282"/>
      <c r="X707" s="282"/>
    </row>
    <row r="708" customFormat="false" ht="14.25" hidden="false" customHeight="false" outlineLevel="0" collapsed="false">
      <c r="A708" s="282"/>
      <c r="B708" s="282"/>
      <c r="C708" s="282"/>
      <c r="D708" s="282"/>
      <c r="E708" s="282"/>
      <c r="F708" s="282"/>
      <c r="G708" s="282"/>
      <c r="H708" s="282"/>
      <c r="I708" s="282"/>
      <c r="J708" s="282"/>
      <c r="K708" s="282"/>
      <c r="L708" s="282"/>
      <c r="M708" s="282"/>
      <c r="N708" s="282"/>
      <c r="O708" s="282"/>
      <c r="P708" s="282"/>
      <c r="Q708" s="282"/>
      <c r="R708" s="282"/>
      <c r="S708" s="282"/>
      <c r="T708" s="282"/>
      <c r="U708" s="282"/>
      <c r="V708" s="282"/>
      <c r="W708" s="282"/>
      <c r="X708" s="282"/>
    </row>
    <row r="709" customFormat="false" ht="14.25" hidden="false" customHeight="false" outlineLevel="0" collapsed="false">
      <c r="A709" s="282"/>
      <c r="B709" s="282"/>
      <c r="C709" s="282"/>
      <c r="D709" s="282"/>
      <c r="E709" s="282"/>
      <c r="F709" s="282"/>
      <c r="G709" s="282"/>
      <c r="H709" s="282"/>
      <c r="I709" s="282"/>
      <c r="J709" s="282"/>
      <c r="K709" s="282"/>
      <c r="L709" s="282"/>
      <c r="M709" s="282"/>
      <c r="N709" s="282"/>
      <c r="O709" s="282"/>
      <c r="P709" s="282"/>
      <c r="Q709" s="282"/>
      <c r="R709" s="282"/>
      <c r="S709" s="282"/>
      <c r="T709" s="282"/>
      <c r="U709" s="282"/>
      <c r="V709" s="282"/>
      <c r="W709" s="282"/>
      <c r="X709" s="282"/>
    </row>
    <row r="710" customFormat="false" ht="14.25" hidden="false" customHeight="false" outlineLevel="0" collapsed="false">
      <c r="A710" s="282"/>
      <c r="B710" s="282"/>
      <c r="C710" s="282"/>
      <c r="D710" s="282"/>
      <c r="E710" s="282"/>
      <c r="F710" s="282"/>
      <c r="G710" s="282"/>
      <c r="H710" s="282"/>
      <c r="I710" s="282"/>
      <c r="J710" s="282"/>
      <c r="K710" s="282"/>
      <c r="L710" s="282"/>
      <c r="M710" s="282"/>
      <c r="N710" s="282"/>
      <c r="O710" s="282"/>
      <c r="P710" s="282"/>
      <c r="Q710" s="282"/>
      <c r="R710" s="282"/>
      <c r="S710" s="282"/>
      <c r="T710" s="282"/>
      <c r="U710" s="282"/>
      <c r="V710" s="282"/>
      <c r="W710" s="282"/>
      <c r="X710" s="282"/>
    </row>
    <row r="711" customFormat="false" ht="14.25" hidden="false" customHeight="false" outlineLevel="0" collapsed="false">
      <c r="A711" s="282"/>
      <c r="B711" s="282"/>
      <c r="C711" s="282"/>
      <c r="D711" s="282"/>
      <c r="E711" s="282"/>
      <c r="F711" s="282"/>
      <c r="G711" s="282"/>
      <c r="H711" s="282"/>
      <c r="I711" s="282"/>
      <c r="J711" s="282"/>
      <c r="K711" s="282"/>
      <c r="L711" s="282"/>
      <c r="M711" s="282"/>
      <c r="N711" s="282"/>
      <c r="O711" s="282"/>
      <c r="P711" s="282"/>
      <c r="Q711" s="282"/>
      <c r="R711" s="282"/>
      <c r="S711" s="282"/>
      <c r="T711" s="282"/>
      <c r="U711" s="282"/>
      <c r="V711" s="282"/>
      <c r="W711" s="282"/>
      <c r="X711" s="282"/>
    </row>
    <row r="712" customFormat="false" ht="14.25" hidden="false" customHeight="false" outlineLevel="0" collapsed="false">
      <c r="A712" s="282"/>
      <c r="B712" s="282"/>
      <c r="C712" s="282"/>
      <c r="D712" s="282"/>
      <c r="E712" s="282"/>
      <c r="F712" s="282"/>
      <c r="G712" s="282"/>
      <c r="H712" s="282"/>
      <c r="I712" s="282"/>
      <c r="J712" s="282"/>
      <c r="K712" s="282"/>
      <c r="L712" s="282"/>
      <c r="M712" s="282"/>
      <c r="N712" s="282"/>
      <c r="O712" s="282"/>
      <c r="P712" s="282"/>
      <c r="Q712" s="282"/>
      <c r="R712" s="282"/>
      <c r="S712" s="282"/>
      <c r="T712" s="282"/>
      <c r="U712" s="282"/>
      <c r="V712" s="282"/>
      <c r="W712" s="282"/>
      <c r="X712" s="282"/>
    </row>
    <row r="713" customFormat="false" ht="14.25" hidden="false" customHeight="false" outlineLevel="0" collapsed="false">
      <c r="A713" s="282"/>
      <c r="B713" s="282"/>
      <c r="C713" s="282"/>
      <c r="D713" s="282"/>
      <c r="E713" s="282"/>
      <c r="F713" s="282"/>
      <c r="G713" s="282"/>
      <c r="H713" s="282"/>
      <c r="I713" s="282"/>
      <c r="J713" s="282"/>
      <c r="K713" s="282"/>
      <c r="L713" s="282"/>
      <c r="M713" s="282"/>
      <c r="N713" s="282"/>
      <c r="O713" s="282"/>
      <c r="P713" s="282"/>
      <c r="Q713" s="282"/>
      <c r="R713" s="282"/>
      <c r="S713" s="282"/>
      <c r="T713" s="282"/>
      <c r="U713" s="282"/>
      <c r="V713" s="282"/>
      <c r="W713" s="282"/>
      <c r="X713" s="282"/>
    </row>
    <row r="714" customFormat="false" ht="14.25" hidden="false" customHeight="false" outlineLevel="0" collapsed="false">
      <c r="A714" s="282"/>
      <c r="B714" s="282"/>
      <c r="C714" s="282"/>
      <c r="D714" s="282"/>
      <c r="E714" s="282"/>
      <c r="F714" s="282"/>
      <c r="G714" s="282"/>
      <c r="H714" s="282"/>
      <c r="I714" s="282"/>
      <c r="J714" s="282"/>
      <c r="K714" s="282"/>
      <c r="L714" s="282"/>
      <c r="M714" s="282"/>
      <c r="N714" s="282"/>
      <c r="O714" s="282"/>
      <c r="P714" s="282"/>
      <c r="Q714" s="282"/>
      <c r="R714" s="282"/>
      <c r="S714" s="282"/>
      <c r="T714" s="282"/>
      <c r="U714" s="282"/>
      <c r="V714" s="282"/>
      <c r="W714" s="282"/>
      <c r="X714" s="282"/>
    </row>
    <row r="715" customFormat="false" ht="14.25" hidden="false" customHeight="false" outlineLevel="0" collapsed="false">
      <c r="A715" s="282"/>
      <c r="B715" s="282"/>
      <c r="C715" s="282"/>
      <c r="D715" s="282"/>
      <c r="E715" s="282"/>
      <c r="F715" s="282"/>
      <c r="G715" s="282"/>
      <c r="H715" s="282"/>
      <c r="I715" s="282"/>
      <c r="J715" s="282"/>
      <c r="K715" s="282"/>
      <c r="L715" s="282"/>
      <c r="M715" s="282"/>
      <c r="N715" s="282"/>
      <c r="O715" s="282"/>
      <c r="P715" s="282"/>
      <c r="Q715" s="282"/>
      <c r="R715" s="282"/>
      <c r="S715" s="282"/>
      <c r="T715" s="282"/>
      <c r="U715" s="282"/>
      <c r="V715" s="282"/>
      <c r="W715" s="282"/>
      <c r="X715" s="282"/>
    </row>
    <row r="716" customFormat="false" ht="14.25" hidden="false" customHeight="false" outlineLevel="0" collapsed="false">
      <c r="A716" s="282"/>
      <c r="B716" s="282"/>
      <c r="C716" s="282"/>
      <c r="D716" s="282"/>
      <c r="E716" s="282"/>
      <c r="F716" s="282"/>
      <c r="G716" s="282"/>
      <c r="H716" s="282"/>
      <c r="I716" s="282"/>
      <c r="J716" s="282"/>
      <c r="K716" s="282"/>
      <c r="L716" s="282"/>
      <c r="M716" s="282"/>
      <c r="N716" s="282"/>
      <c r="O716" s="282"/>
      <c r="P716" s="282"/>
      <c r="Q716" s="282"/>
      <c r="R716" s="282"/>
      <c r="S716" s="282"/>
      <c r="T716" s="282"/>
      <c r="U716" s="282"/>
      <c r="V716" s="282"/>
      <c r="W716" s="282"/>
      <c r="X716" s="282"/>
    </row>
    <row r="717" customFormat="false" ht="14.25" hidden="false" customHeight="false" outlineLevel="0" collapsed="false">
      <c r="A717" s="282"/>
      <c r="B717" s="282"/>
      <c r="C717" s="282"/>
      <c r="D717" s="282"/>
      <c r="E717" s="282"/>
      <c r="F717" s="282"/>
      <c r="G717" s="282"/>
      <c r="H717" s="282"/>
      <c r="I717" s="282"/>
      <c r="J717" s="282"/>
      <c r="K717" s="282"/>
      <c r="L717" s="282"/>
      <c r="M717" s="282"/>
      <c r="N717" s="282"/>
      <c r="O717" s="282"/>
      <c r="P717" s="282"/>
      <c r="Q717" s="282"/>
      <c r="R717" s="282"/>
      <c r="S717" s="282"/>
      <c r="T717" s="282"/>
      <c r="U717" s="282"/>
      <c r="V717" s="282"/>
      <c r="W717" s="282"/>
      <c r="X717" s="282"/>
    </row>
    <row r="718" customFormat="false" ht="14.25" hidden="false" customHeight="false" outlineLevel="0" collapsed="false">
      <c r="A718" s="282"/>
      <c r="B718" s="282"/>
      <c r="C718" s="282"/>
      <c r="D718" s="282"/>
      <c r="E718" s="282"/>
      <c r="F718" s="282"/>
      <c r="G718" s="282"/>
      <c r="H718" s="282"/>
      <c r="I718" s="282"/>
      <c r="J718" s="282"/>
      <c r="K718" s="282"/>
      <c r="L718" s="282"/>
      <c r="M718" s="282"/>
      <c r="N718" s="282"/>
      <c r="O718" s="282"/>
      <c r="P718" s="282"/>
      <c r="Q718" s="282"/>
      <c r="R718" s="282"/>
      <c r="S718" s="282"/>
      <c r="T718" s="282"/>
      <c r="U718" s="282"/>
      <c r="V718" s="282"/>
      <c r="W718" s="282"/>
      <c r="X718" s="282"/>
    </row>
    <row r="719" customFormat="false" ht="14.25" hidden="false" customHeight="false" outlineLevel="0" collapsed="false">
      <c r="A719" s="282"/>
      <c r="B719" s="282"/>
      <c r="C719" s="282"/>
      <c r="D719" s="282"/>
      <c r="E719" s="282"/>
      <c r="F719" s="282"/>
      <c r="G719" s="282"/>
      <c r="H719" s="282"/>
      <c r="I719" s="282"/>
      <c r="J719" s="282"/>
      <c r="K719" s="282"/>
      <c r="L719" s="282"/>
      <c r="M719" s="282"/>
      <c r="N719" s="282"/>
      <c r="O719" s="282"/>
      <c r="P719" s="282"/>
      <c r="Q719" s="282"/>
      <c r="R719" s="282"/>
      <c r="S719" s="282"/>
      <c r="T719" s="282"/>
      <c r="U719" s="282"/>
      <c r="V719" s="282"/>
      <c r="W719" s="282"/>
      <c r="X719" s="282"/>
    </row>
    <row r="720" customFormat="false" ht="14.25" hidden="false" customHeight="false" outlineLevel="0" collapsed="false">
      <c r="A720" s="282"/>
      <c r="B720" s="282"/>
      <c r="C720" s="282"/>
      <c r="D720" s="282"/>
      <c r="E720" s="282"/>
      <c r="F720" s="282"/>
      <c r="G720" s="282"/>
      <c r="H720" s="282"/>
      <c r="I720" s="282"/>
      <c r="J720" s="282"/>
      <c r="K720" s="282"/>
      <c r="L720" s="282"/>
      <c r="M720" s="282"/>
      <c r="N720" s="282"/>
      <c r="O720" s="282"/>
      <c r="P720" s="282"/>
      <c r="Q720" s="282"/>
      <c r="R720" s="282"/>
      <c r="S720" s="282"/>
      <c r="T720" s="282"/>
      <c r="U720" s="282"/>
      <c r="V720" s="282"/>
      <c r="W720" s="282"/>
      <c r="X720" s="282"/>
    </row>
    <row r="721" customFormat="false" ht="14.25" hidden="false" customHeight="false" outlineLevel="0" collapsed="false">
      <c r="A721" s="282"/>
      <c r="B721" s="282"/>
      <c r="C721" s="282"/>
      <c r="D721" s="282"/>
      <c r="E721" s="282"/>
      <c r="F721" s="282"/>
      <c r="G721" s="282"/>
      <c r="H721" s="282"/>
      <c r="I721" s="282"/>
      <c r="J721" s="282"/>
      <c r="K721" s="282"/>
      <c r="L721" s="282"/>
      <c r="M721" s="282"/>
      <c r="N721" s="282"/>
      <c r="O721" s="282"/>
      <c r="P721" s="282"/>
      <c r="Q721" s="282"/>
      <c r="R721" s="282"/>
      <c r="S721" s="282"/>
      <c r="T721" s="282"/>
      <c r="U721" s="282"/>
      <c r="V721" s="282"/>
      <c r="W721" s="282"/>
      <c r="X721" s="282"/>
    </row>
    <row r="722" customFormat="false" ht="14.25" hidden="false" customHeight="false" outlineLevel="0" collapsed="false">
      <c r="A722" s="282"/>
      <c r="B722" s="282"/>
      <c r="C722" s="282"/>
      <c r="D722" s="282"/>
      <c r="E722" s="282"/>
      <c r="F722" s="282"/>
      <c r="G722" s="282"/>
      <c r="H722" s="282"/>
      <c r="I722" s="282"/>
      <c r="J722" s="282"/>
      <c r="K722" s="282"/>
      <c r="L722" s="282"/>
      <c r="M722" s="282"/>
      <c r="N722" s="282"/>
      <c r="O722" s="282"/>
      <c r="P722" s="282"/>
      <c r="Q722" s="282"/>
      <c r="R722" s="282"/>
      <c r="S722" s="282"/>
      <c r="T722" s="282"/>
      <c r="U722" s="282"/>
      <c r="V722" s="282"/>
      <c r="W722" s="282"/>
      <c r="X722" s="282"/>
    </row>
    <row r="723" customFormat="false" ht="14.25" hidden="false" customHeight="false" outlineLevel="0" collapsed="false">
      <c r="A723" s="282"/>
      <c r="B723" s="282"/>
      <c r="C723" s="282"/>
      <c r="D723" s="282"/>
      <c r="E723" s="282"/>
      <c r="F723" s="282"/>
      <c r="G723" s="282"/>
      <c r="H723" s="282"/>
      <c r="I723" s="282"/>
      <c r="J723" s="282"/>
      <c r="K723" s="282"/>
      <c r="L723" s="282"/>
      <c r="M723" s="282"/>
      <c r="N723" s="282"/>
      <c r="O723" s="282"/>
      <c r="P723" s="282"/>
      <c r="Q723" s="282"/>
      <c r="R723" s="282"/>
      <c r="S723" s="282"/>
      <c r="T723" s="282"/>
      <c r="U723" s="282"/>
      <c r="V723" s="282"/>
      <c r="W723" s="282"/>
      <c r="X723" s="282"/>
    </row>
    <row r="724" customFormat="false" ht="14.25" hidden="false" customHeight="false" outlineLevel="0" collapsed="false">
      <c r="A724" s="282"/>
      <c r="B724" s="282"/>
      <c r="C724" s="282"/>
      <c r="D724" s="282"/>
      <c r="E724" s="282"/>
      <c r="F724" s="282"/>
      <c r="G724" s="282"/>
      <c r="H724" s="282"/>
      <c r="I724" s="282"/>
      <c r="J724" s="282"/>
      <c r="K724" s="282"/>
      <c r="L724" s="282"/>
      <c r="M724" s="282"/>
      <c r="N724" s="282"/>
      <c r="O724" s="282"/>
      <c r="P724" s="282"/>
      <c r="Q724" s="282"/>
      <c r="R724" s="282"/>
      <c r="S724" s="282"/>
      <c r="T724" s="282"/>
      <c r="U724" s="282"/>
      <c r="V724" s="282"/>
      <c r="W724" s="282"/>
      <c r="X724" s="282"/>
    </row>
    <row r="725" customFormat="false" ht="14.25" hidden="false" customHeight="false" outlineLevel="0" collapsed="false">
      <c r="A725" s="282"/>
      <c r="B725" s="282"/>
      <c r="C725" s="282"/>
      <c r="D725" s="282"/>
      <c r="E725" s="282"/>
      <c r="F725" s="282"/>
      <c r="G725" s="282"/>
      <c r="H725" s="282"/>
      <c r="I725" s="282"/>
      <c r="J725" s="282"/>
      <c r="K725" s="282"/>
      <c r="L725" s="282"/>
      <c r="M725" s="282"/>
      <c r="N725" s="282"/>
      <c r="O725" s="282"/>
      <c r="P725" s="282"/>
      <c r="Q725" s="282"/>
      <c r="R725" s="282"/>
      <c r="S725" s="282"/>
      <c r="T725" s="282"/>
      <c r="U725" s="282"/>
      <c r="V725" s="282"/>
      <c r="W725" s="282"/>
      <c r="X725" s="282"/>
    </row>
    <row r="726" customFormat="false" ht="14.25" hidden="false" customHeight="false" outlineLevel="0" collapsed="false">
      <c r="A726" s="282"/>
      <c r="B726" s="282"/>
      <c r="C726" s="282"/>
      <c r="D726" s="282"/>
      <c r="E726" s="282"/>
      <c r="F726" s="282"/>
      <c r="G726" s="282"/>
      <c r="H726" s="282"/>
      <c r="I726" s="282"/>
      <c r="J726" s="282"/>
      <c r="K726" s="282"/>
      <c r="L726" s="282"/>
      <c r="M726" s="282"/>
      <c r="N726" s="282"/>
      <c r="O726" s="282"/>
      <c r="P726" s="282"/>
      <c r="Q726" s="282"/>
      <c r="R726" s="282"/>
      <c r="S726" s="282"/>
      <c r="T726" s="282"/>
      <c r="U726" s="282"/>
      <c r="V726" s="282"/>
      <c r="W726" s="282"/>
      <c r="X726" s="282"/>
    </row>
    <row r="727" customFormat="false" ht="14.25" hidden="false" customHeight="false" outlineLevel="0" collapsed="false">
      <c r="A727" s="282"/>
      <c r="B727" s="282"/>
      <c r="C727" s="282"/>
      <c r="D727" s="282"/>
      <c r="E727" s="282"/>
      <c r="F727" s="282"/>
      <c r="G727" s="282"/>
      <c r="H727" s="282"/>
      <c r="I727" s="282"/>
      <c r="J727" s="282"/>
      <c r="K727" s="282"/>
      <c r="L727" s="282"/>
      <c r="M727" s="282"/>
      <c r="N727" s="282"/>
      <c r="O727" s="282"/>
      <c r="P727" s="282"/>
      <c r="Q727" s="282"/>
      <c r="R727" s="282"/>
      <c r="S727" s="282"/>
      <c r="T727" s="282"/>
      <c r="U727" s="282"/>
      <c r="V727" s="282"/>
      <c r="W727" s="282"/>
      <c r="X727" s="282"/>
    </row>
    <row r="728" customFormat="false" ht="14.25" hidden="false" customHeight="false" outlineLevel="0" collapsed="false">
      <c r="A728" s="282"/>
      <c r="B728" s="282"/>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row>
    <row r="729" customFormat="false" ht="14.25" hidden="false" customHeight="false" outlineLevel="0" collapsed="false">
      <c r="A729" s="282"/>
      <c r="B729" s="282"/>
      <c r="C729" s="282"/>
      <c r="D729" s="282"/>
      <c r="E729" s="282"/>
      <c r="F729" s="282"/>
      <c r="G729" s="282"/>
      <c r="H729" s="282"/>
      <c r="I729" s="282"/>
      <c r="J729" s="282"/>
      <c r="K729" s="282"/>
      <c r="L729" s="282"/>
      <c r="M729" s="282"/>
      <c r="N729" s="282"/>
      <c r="O729" s="282"/>
      <c r="P729" s="282"/>
      <c r="Q729" s="282"/>
      <c r="R729" s="282"/>
      <c r="S729" s="282"/>
      <c r="T729" s="282"/>
      <c r="U729" s="282"/>
      <c r="V729" s="282"/>
      <c r="W729" s="282"/>
      <c r="X729" s="282"/>
    </row>
    <row r="730" customFormat="false" ht="14.25" hidden="false" customHeight="false" outlineLevel="0" collapsed="false">
      <c r="A730" s="282"/>
      <c r="B730" s="282"/>
      <c r="C730" s="282"/>
      <c r="D730" s="282"/>
      <c r="E730" s="282"/>
      <c r="F730" s="282"/>
      <c r="G730" s="282"/>
      <c r="H730" s="282"/>
      <c r="I730" s="282"/>
      <c r="J730" s="282"/>
      <c r="K730" s="282"/>
      <c r="L730" s="282"/>
      <c r="M730" s="282"/>
      <c r="N730" s="282"/>
      <c r="O730" s="282"/>
      <c r="P730" s="282"/>
      <c r="Q730" s="282"/>
      <c r="R730" s="282"/>
      <c r="S730" s="282"/>
      <c r="T730" s="282"/>
      <c r="U730" s="282"/>
      <c r="V730" s="282"/>
      <c r="W730" s="282"/>
      <c r="X730" s="282"/>
    </row>
    <row r="731" customFormat="false" ht="14.25" hidden="false" customHeight="false" outlineLevel="0" collapsed="false">
      <c r="A731" s="282"/>
      <c r="B731" s="282"/>
      <c r="C731" s="282"/>
      <c r="D731" s="282"/>
      <c r="E731" s="282"/>
      <c r="F731" s="282"/>
      <c r="G731" s="282"/>
      <c r="H731" s="282"/>
      <c r="I731" s="282"/>
      <c r="J731" s="282"/>
      <c r="K731" s="282"/>
      <c r="L731" s="282"/>
      <c r="M731" s="282"/>
      <c r="N731" s="282"/>
      <c r="O731" s="282"/>
      <c r="P731" s="282"/>
      <c r="Q731" s="282"/>
      <c r="R731" s="282"/>
      <c r="S731" s="282"/>
      <c r="T731" s="282"/>
      <c r="U731" s="282"/>
      <c r="V731" s="282"/>
      <c r="W731" s="282"/>
      <c r="X731" s="282"/>
    </row>
    <row r="732" customFormat="false" ht="14.25" hidden="false" customHeight="false" outlineLevel="0" collapsed="false">
      <c r="A732" s="282"/>
      <c r="B732" s="282"/>
      <c r="C732" s="282"/>
      <c r="D732" s="282"/>
      <c r="E732" s="282"/>
      <c r="F732" s="282"/>
      <c r="G732" s="282"/>
      <c r="H732" s="282"/>
      <c r="I732" s="282"/>
      <c r="J732" s="282"/>
      <c r="K732" s="282"/>
      <c r="L732" s="282"/>
      <c r="M732" s="282"/>
      <c r="N732" s="282"/>
      <c r="O732" s="282"/>
      <c r="P732" s="282"/>
      <c r="Q732" s="282"/>
      <c r="R732" s="282"/>
      <c r="S732" s="282"/>
      <c r="T732" s="282"/>
      <c r="U732" s="282"/>
      <c r="V732" s="282"/>
      <c r="W732" s="282"/>
      <c r="X732" s="282"/>
    </row>
    <row r="733" customFormat="false" ht="14.25" hidden="false" customHeight="false" outlineLevel="0" collapsed="false">
      <c r="A733" s="282"/>
      <c r="B733" s="282"/>
      <c r="C733" s="282"/>
      <c r="D733" s="282"/>
      <c r="E733" s="282"/>
      <c r="F733" s="282"/>
      <c r="G733" s="282"/>
      <c r="H733" s="282"/>
      <c r="I733" s="282"/>
      <c r="J733" s="282"/>
      <c r="K733" s="282"/>
      <c r="L733" s="282"/>
      <c r="M733" s="282"/>
      <c r="N733" s="282"/>
      <c r="O733" s="282"/>
      <c r="P733" s="282"/>
      <c r="Q733" s="282"/>
      <c r="R733" s="282"/>
      <c r="S733" s="282"/>
      <c r="T733" s="282"/>
      <c r="U733" s="282"/>
      <c r="V733" s="282"/>
      <c r="W733" s="282"/>
      <c r="X733" s="282"/>
    </row>
    <row r="734" customFormat="false" ht="14.25" hidden="false" customHeight="false" outlineLevel="0" collapsed="false">
      <c r="A734" s="282"/>
      <c r="B734" s="282"/>
      <c r="C734" s="282"/>
      <c r="D734" s="282"/>
      <c r="E734" s="282"/>
      <c r="F734" s="282"/>
      <c r="G734" s="282"/>
      <c r="H734" s="282"/>
      <c r="I734" s="282"/>
      <c r="J734" s="282"/>
      <c r="K734" s="282"/>
      <c r="L734" s="282"/>
      <c r="M734" s="282"/>
      <c r="N734" s="282"/>
      <c r="O734" s="282"/>
      <c r="P734" s="282"/>
      <c r="Q734" s="282"/>
      <c r="R734" s="282"/>
      <c r="S734" s="282"/>
      <c r="T734" s="282"/>
      <c r="U734" s="282"/>
      <c r="V734" s="282"/>
      <c r="W734" s="282"/>
      <c r="X734" s="282"/>
    </row>
    <row r="735" customFormat="false" ht="14.25" hidden="false" customHeight="false" outlineLevel="0" collapsed="false">
      <c r="A735" s="282"/>
      <c r="B735" s="282"/>
      <c r="C735" s="282"/>
      <c r="D735" s="282"/>
      <c r="E735" s="282"/>
      <c r="F735" s="282"/>
      <c r="G735" s="282"/>
      <c r="H735" s="282"/>
      <c r="I735" s="282"/>
      <c r="J735" s="282"/>
      <c r="K735" s="282"/>
      <c r="L735" s="282"/>
      <c r="M735" s="282"/>
      <c r="N735" s="282"/>
      <c r="O735" s="282"/>
      <c r="P735" s="282"/>
      <c r="Q735" s="282"/>
      <c r="R735" s="282"/>
      <c r="S735" s="282"/>
      <c r="T735" s="282"/>
      <c r="U735" s="282"/>
      <c r="V735" s="282"/>
      <c r="W735" s="282"/>
      <c r="X735" s="282"/>
    </row>
    <row r="736" customFormat="false" ht="14.25" hidden="false" customHeight="false" outlineLevel="0" collapsed="false">
      <c r="A736" s="282"/>
      <c r="B736" s="282"/>
      <c r="C736" s="282"/>
      <c r="D736" s="282"/>
      <c r="E736" s="282"/>
      <c r="F736" s="282"/>
      <c r="G736" s="282"/>
      <c r="H736" s="282"/>
      <c r="I736" s="282"/>
      <c r="J736" s="282"/>
      <c r="K736" s="282"/>
      <c r="L736" s="282"/>
      <c r="M736" s="282"/>
      <c r="N736" s="282"/>
      <c r="O736" s="282"/>
      <c r="P736" s="282"/>
      <c r="Q736" s="282"/>
      <c r="R736" s="282"/>
      <c r="S736" s="282"/>
      <c r="T736" s="282"/>
      <c r="U736" s="282"/>
      <c r="V736" s="282"/>
      <c r="W736" s="282"/>
      <c r="X736" s="282"/>
    </row>
    <row r="737" customFormat="false" ht="14.25" hidden="false" customHeight="false" outlineLevel="0" collapsed="false">
      <c r="A737" s="282"/>
      <c r="B737" s="282"/>
      <c r="C737" s="282"/>
      <c r="D737" s="282"/>
      <c r="E737" s="282"/>
      <c r="F737" s="282"/>
      <c r="G737" s="282"/>
      <c r="H737" s="282"/>
      <c r="I737" s="282"/>
      <c r="J737" s="282"/>
      <c r="K737" s="282"/>
      <c r="L737" s="282"/>
      <c r="M737" s="282"/>
      <c r="N737" s="282"/>
      <c r="O737" s="282"/>
      <c r="P737" s="282"/>
      <c r="Q737" s="282"/>
      <c r="R737" s="282"/>
      <c r="S737" s="282"/>
      <c r="T737" s="282"/>
      <c r="U737" s="282"/>
      <c r="V737" s="282"/>
      <c r="W737" s="282"/>
      <c r="X737" s="282"/>
    </row>
    <row r="738" customFormat="false" ht="14.25" hidden="false" customHeight="false" outlineLevel="0" collapsed="false">
      <c r="A738" s="282"/>
      <c r="B738" s="282"/>
      <c r="C738" s="282"/>
      <c r="D738" s="282"/>
      <c r="E738" s="282"/>
      <c r="F738" s="282"/>
      <c r="G738" s="282"/>
      <c r="H738" s="282"/>
      <c r="I738" s="282"/>
      <c r="J738" s="282"/>
      <c r="K738" s="282"/>
      <c r="L738" s="282"/>
      <c r="M738" s="282"/>
      <c r="N738" s="282"/>
      <c r="O738" s="282"/>
      <c r="P738" s="282"/>
      <c r="Q738" s="282"/>
      <c r="R738" s="282"/>
      <c r="S738" s="282"/>
      <c r="T738" s="282"/>
      <c r="U738" s="282"/>
      <c r="V738" s="282"/>
      <c r="W738" s="282"/>
      <c r="X738" s="282"/>
    </row>
    <row r="739" customFormat="false" ht="14.25" hidden="false" customHeight="false" outlineLevel="0" collapsed="false">
      <c r="A739" s="282"/>
      <c r="B739" s="282"/>
      <c r="C739" s="282"/>
      <c r="D739" s="282"/>
      <c r="E739" s="282"/>
      <c r="F739" s="282"/>
      <c r="G739" s="282"/>
      <c r="H739" s="282"/>
      <c r="I739" s="282"/>
      <c r="J739" s="282"/>
      <c r="K739" s="282"/>
      <c r="L739" s="282"/>
      <c r="M739" s="282"/>
      <c r="N739" s="282"/>
      <c r="O739" s="282"/>
      <c r="P739" s="282"/>
      <c r="Q739" s="282"/>
      <c r="R739" s="282"/>
      <c r="S739" s="282"/>
      <c r="T739" s="282"/>
      <c r="U739" s="282"/>
      <c r="V739" s="282"/>
      <c r="W739" s="282"/>
      <c r="X739" s="282"/>
    </row>
    <row r="740" customFormat="false" ht="14.25" hidden="false" customHeight="false" outlineLevel="0" collapsed="false">
      <c r="A740" s="282"/>
      <c r="B740" s="282"/>
      <c r="C740" s="282"/>
      <c r="D740" s="282"/>
      <c r="E740" s="282"/>
      <c r="F740" s="282"/>
      <c r="G740" s="282"/>
      <c r="H740" s="282"/>
      <c r="I740" s="282"/>
      <c r="J740" s="282"/>
      <c r="K740" s="282"/>
      <c r="L740" s="282"/>
      <c r="M740" s="282"/>
      <c r="N740" s="282"/>
      <c r="O740" s="282"/>
      <c r="P740" s="282"/>
      <c r="Q740" s="282"/>
      <c r="R740" s="282"/>
      <c r="S740" s="282"/>
      <c r="T740" s="282"/>
      <c r="U740" s="282"/>
      <c r="V740" s="282"/>
      <c r="W740" s="282"/>
      <c r="X740" s="282"/>
    </row>
    <row r="741" customFormat="false" ht="14.25" hidden="false" customHeight="false" outlineLevel="0" collapsed="false">
      <c r="A741" s="282"/>
      <c r="B741" s="282"/>
      <c r="C741" s="282"/>
      <c r="D741" s="282"/>
      <c r="E741" s="282"/>
      <c r="F741" s="282"/>
      <c r="G741" s="282"/>
      <c r="H741" s="282"/>
      <c r="I741" s="282"/>
      <c r="J741" s="282"/>
      <c r="K741" s="282"/>
      <c r="L741" s="282"/>
      <c r="M741" s="282"/>
      <c r="N741" s="282"/>
      <c r="O741" s="282"/>
      <c r="P741" s="282"/>
      <c r="Q741" s="282"/>
      <c r="R741" s="282"/>
      <c r="S741" s="282"/>
      <c r="T741" s="282"/>
      <c r="U741" s="282"/>
      <c r="V741" s="282"/>
      <c r="W741" s="282"/>
      <c r="X741" s="282"/>
    </row>
    <row r="742" customFormat="false" ht="14.25" hidden="false" customHeight="false" outlineLevel="0" collapsed="false">
      <c r="A742" s="282"/>
      <c r="B742" s="282"/>
      <c r="C742" s="282"/>
      <c r="D742" s="282"/>
      <c r="E742" s="282"/>
      <c r="F742" s="282"/>
      <c r="G742" s="282"/>
      <c r="H742" s="282"/>
      <c r="I742" s="282"/>
      <c r="J742" s="282"/>
      <c r="K742" s="282"/>
      <c r="L742" s="282"/>
      <c r="M742" s="282"/>
      <c r="N742" s="282"/>
      <c r="O742" s="282"/>
      <c r="P742" s="282"/>
      <c r="Q742" s="282"/>
      <c r="R742" s="282"/>
      <c r="S742" s="282"/>
      <c r="T742" s="282"/>
      <c r="U742" s="282"/>
      <c r="V742" s="282"/>
      <c r="W742" s="282"/>
      <c r="X742" s="282"/>
    </row>
    <row r="743" customFormat="false" ht="14.25" hidden="false" customHeight="false" outlineLevel="0" collapsed="false">
      <c r="A743" s="282"/>
      <c r="B743" s="282"/>
      <c r="C743" s="282"/>
      <c r="D743" s="282"/>
      <c r="E743" s="282"/>
      <c r="F743" s="282"/>
      <c r="G743" s="282"/>
      <c r="H743" s="282"/>
      <c r="I743" s="282"/>
      <c r="J743" s="282"/>
      <c r="K743" s="282"/>
      <c r="L743" s="282"/>
      <c r="M743" s="282"/>
      <c r="N743" s="282"/>
      <c r="O743" s="282"/>
      <c r="P743" s="282"/>
      <c r="Q743" s="282"/>
      <c r="R743" s="282"/>
      <c r="S743" s="282"/>
      <c r="T743" s="282"/>
      <c r="U743" s="282"/>
      <c r="V743" s="282"/>
      <c r="W743" s="282"/>
      <c r="X743" s="282"/>
    </row>
    <row r="744" customFormat="false" ht="14.25" hidden="false" customHeight="false" outlineLevel="0" collapsed="false">
      <c r="A744" s="282"/>
      <c r="B744" s="282"/>
      <c r="C744" s="282"/>
      <c r="D744" s="282"/>
      <c r="E744" s="282"/>
      <c r="F744" s="282"/>
      <c r="G744" s="282"/>
      <c r="H744" s="282"/>
      <c r="I744" s="282"/>
      <c r="J744" s="282"/>
      <c r="K744" s="282"/>
      <c r="L744" s="282"/>
      <c r="M744" s="282"/>
      <c r="N744" s="282"/>
      <c r="O744" s="282"/>
      <c r="P744" s="282"/>
      <c r="Q744" s="282"/>
      <c r="R744" s="282"/>
      <c r="S744" s="282"/>
      <c r="T744" s="282"/>
      <c r="U744" s="282"/>
      <c r="V744" s="282"/>
      <c r="W744" s="282"/>
      <c r="X744" s="282"/>
    </row>
    <row r="745" customFormat="false" ht="14.25" hidden="false" customHeight="false" outlineLevel="0" collapsed="false">
      <c r="A745" s="282"/>
      <c r="B745" s="282"/>
      <c r="C745" s="282"/>
      <c r="D745" s="282"/>
      <c r="E745" s="282"/>
      <c r="F745" s="282"/>
      <c r="G745" s="282"/>
      <c r="H745" s="282"/>
      <c r="I745" s="282"/>
      <c r="J745" s="282"/>
      <c r="K745" s="282"/>
      <c r="L745" s="282"/>
      <c r="M745" s="282"/>
      <c r="N745" s="282"/>
      <c r="O745" s="282"/>
      <c r="P745" s="282"/>
      <c r="Q745" s="282"/>
      <c r="R745" s="282"/>
      <c r="S745" s="282"/>
      <c r="T745" s="282"/>
      <c r="U745" s="282"/>
      <c r="V745" s="282"/>
      <c r="W745" s="282"/>
      <c r="X745" s="282"/>
    </row>
    <row r="746" customFormat="false" ht="14.25" hidden="false" customHeight="false" outlineLevel="0" collapsed="false">
      <c r="A746" s="282"/>
      <c r="B746" s="282"/>
      <c r="C746" s="282"/>
      <c r="D746" s="282"/>
      <c r="E746" s="282"/>
      <c r="F746" s="282"/>
      <c r="G746" s="282"/>
      <c r="H746" s="282"/>
      <c r="I746" s="282"/>
      <c r="J746" s="282"/>
      <c r="K746" s="282"/>
      <c r="L746" s="282"/>
      <c r="M746" s="282"/>
      <c r="N746" s="282"/>
      <c r="O746" s="282"/>
      <c r="P746" s="282"/>
      <c r="Q746" s="282"/>
      <c r="R746" s="282"/>
      <c r="S746" s="282"/>
      <c r="T746" s="282"/>
      <c r="U746" s="282"/>
      <c r="V746" s="282"/>
      <c r="W746" s="282"/>
      <c r="X746" s="282"/>
    </row>
    <row r="747" customFormat="false" ht="14.25" hidden="false" customHeight="false" outlineLevel="0" collapsed="false">
      <c r="A747" s="282"/>
      <c r="B747" s="282"/>
      <c r="C747" s="282"/>
      <c r="D747" s="282"/>
      <c r="E747" s="282"/>
      <c r="F747" s="282"/>
      <c r="G747" s="282"/>
      <c r="H747" s="282"/>
      <c r="I747" s="282"/>
      <c r="J747" s="282"/>
      <c r="K747" s="282"/>
      <c r="L747" s="282"/>
      <c r="M747" s="282"/>
      <c r="N747" s="282"/>
      <c r="O747" s="282"/>
      <c r="P747" s="282"/>
      <c r="Q747" s="282"/>
      <c r="R747" s="282"/>
      <c r="S747" s="282"/>
      <c r="T747" s="282"/>
      <c r="U747" s="282"/>
      <c r="V747" s="282"/>
      <c r="W747" s="282"/>
      <c r="X747" s="282"/>
    </row>
    <row r="748" customFormat="false" ht="14.25" hidden="false" customHeight="false" outlineLevel="0" collapsed="false">
      <c r="A748" s="282"/>
      <c r="B748" s="282"/>
      <c r="C748" s="282"/>
      <c r="D748" s="282"/>
      <c r="E748" s="282"/>
      <c r="F748" s="282"/>
      <c r="G748" s="282"/>
      <c r="H748" s="282"/>
      <c r="I748" s="282"/>
      <c r="J748" s="282"/>
      <c r="K748" s="282"/>
      <c r="L748" s="282"/>
      <c r="M748" s="282"/>
      <c r="N748" s="282"/>
      <c r="O748" s="282"/>
      <c r="P748" s="282"/>
      <c r="Q748" s="282"/>
      <c r="R748" s="282"/>
      <c r="S748" s="282"/>
      <c r="T748" s="282"/>
      <c r="U748" s="282"/>
      <c r="V748" s="282"/>
      <c r="W748" s="282"/>
      <c r="X748" s="282"/>
    </row>
    <row r="749" customFormat="false" ht="14.25" hidden="false" customHeight="false" outlineLevel="0" collapsed="false">
      <c r="A749" s="282"/>
      <c r="B749" s="282"/>
      <c r="C749" s="282"/>
      <c r="D749" s="282"/>
      <c r="E749" s="282"/>
      <c r="F749" s="282"/>
      <c r="G749" s="282"/>
      <c r="H749" s="282"/>
      <c r="I749" s="282"/>
      <c r="J749" s="282"/>
      <c r="K749" s="282"/>
      <c r="L749" s="282"/>
      <c r="M749" s="282"/>
      <c r="N749" s="282"/>
      <c r="O749" s="282"/>
      <c r="P749" s="282"/>
      <c r="Q749" s="282"/>
      <c r="R749" s="282"/>
      <c r="S749" s="282"/>
      <c r="T749" s="282"/>
      <c r="U749" s="282"/>
      <c r="V749" s="282"/>
      <c r="W749" s="282"/>
      <c r="X749" s="282"/>
    </row>
    <row r="750" customFormat="false" ht="14.25" hidden="false" customHeight="false" outlineLevel="0" collapsed="false">
      <c r="A750" s="282"/>
      <c r="B750" s="282"/>
      <c r="C750" s="282"/>
      <c r="D750" s="282"/>
      <c r="E750" s="282"/>
      <c r="F750" s="282"/>
      <c r="G750" s="282"/>
      <c r="H750" s="282"/>
      <c r="I750" s="282"/>
      <c r="J750" s="282"/>
      <c r="K750" s="282"/>
      <c r="L750" s="282"/>
      <c r="M750" s="282"/>
      <c r="N750" s="282"/>
      <c r="O750" s="282"/>
      <c r="P750" s="282"/>
      <c r="Q750" s="282"/>
      <c r="R750" s="282"/>
      <c r="S750" s="282"/>
      <c r="T750" s="282"/>
      <c r="U750" s="282"/>
      <c r="V750" s="282"/>
      <c r="W750" s="282"/>
      <c r="X750" s="282"/>
    </row>
    <row r="751" customFormat="false" ht="14.25" hidden="false" customHeight="false" outlineLevel="0" collapsed="false">
      <c r="A751" s="282"/>
      <c r="B751" s="282"/>
      <c r="C751" s="282"/>
      <c r="D751" s="282"/>
      <c r="E751" s="282"/>
      <c r="F751" s="282"/>
      <c r="G751" s="282"/>
      <c r="H751" s="282"/>
      <c r="I751" s="282"/>
      <c r="J751" s="282"/>
      <c r="K751" s="282"/>
      <c r="L751" s="282"/>
      <c r="M751" s="282"/>
      <c r="N751" s="282"/>
      <c r="O751" s="282"/>
      <c r="P751" s="282"/>
      <c r="Q751" s="282"/>
      <c r="R751" s="282"/>
      <c r="S751" s="282"/>
      <c r="T751" s="282"/>
      <c r="U751" s="282"/>
      <c r="V751" s="282"/>
      <c r="W751" s="282"/>
      <c r="X751" s="282"/>
    </row>
    <row r="752" customFormat="false" ht="14.25" hidden="false" customHeight="false" outlineLevel="0" collapsed="false">
      <c r="A752" s="282"/>
      <c r="B752" s="282"/>
      <c r="C752" s="282"/>
      <c r="D752" s="282"/>
      <c r="E752" s="282"/>
      <c r="F752" s="282"/>
      <c r="G752" s="282"/>
      <c r="H752" s="282"/>
      <c r="I752" s="282"/>
      <c r="J752" s="282"/>
      <c r="K752" s="282"/>
      <c r="L752" s="282"/>
      <c r="M752" s="282"/>
      <c r="N752" s="282"/>
      <c r="O752" s="282"/>
      <c r="P752" s="282"/>
      <c r="Q752" s="282"/>
      <c r="R752" s="282"/>
      <c r="S752" s="282"/>
      <c r="T752" s="282"/>
      <c r="U752" s="282"/>
      <c r="V752" s="282"/>
      <c r="W752" s="282"/>
      <c r="X752" s="282"/>
    </row>
    <row r="753" customFormat="false" ht="14.25" hidden="false" customHeight="false" outlineLevel="0" collapsed="false">
      <c r="A753" s="282"/>
      <c r="B753" s="282"/>
      <c r="C753" s="282"/>
      <c r="D753" s="282"/>
      <c r="E753" s="282"/>
      <c r="F753" s="282"/>
      <c r="G753" s="282"/>
      <c r="H753" s="282"/>
      <c r="I753" s="282"/>
      <c r="J753" s="282"/>
      <c r="K753" s="282"/>
      <c r="L753" s="282"/>
      <c r="M753" s="282"/>
      <c r="N753" s="282"/>
      <c r="O753" s="282"/>
      <c r="P753" s="282"/>
      <c r="Q753" s="282"/>
      <c r="R753" s="282"/>
      <c r="S753" s="282"/>
      <c r="T753" s="282"/>
      <c r="U753" s="282"/>
      <c r="V753" s="282"/>
      <c r="W753" s="282"/>
      <c r="X753" s="282"/>
    </row>
    <row r="754" customFormat="false" ht="14.25" hidden="false" customHeight="false" outlineLevel="0" collapsed="false">
      <c r="A754" s="282"/>
      <c r="B754" s="282"/>
      <c r="C754" s="282"/>
      <c r="D754" s="282"/>
      <c r="E754" s="282"/>
      <c r="F754" s="282"/>
      <c r="G754" s="282"/>
      <c r="H754" s="282"/>
      <c r="I754" s="282"/>
      <c r="J754" s="282"/>
      <c r="K754" s="282"/>
      <c r="L754" s="282"/>
      <c r="M754" s="282"/>
      <c r="N754" s="282"/>
      <c r="O754" s="282"/>
      <c r="P754" s="282"/>
      <c r="Q754" s="282"/>
      <c r="R754" s="282"/>
      <c r="S754" s="282"/>
      <c r="T754" s="282"/>
      <c r="U754" s="282"/>
      <c r="V754" s="282"/>
      <c r="W754" s="282"/>
      <c r="X754" s="282"/>
    </row>
    <row r="755" customFormat="false" ht="14.25" hidden="false" customHeight="false" outlineLevel="0" collapsed="false">
      <c r="A755" s="282"/>
      <c r="B755" s="282"/>
      <c r="C755" s="282"/>
      <c r="D755" s="282"/>
      <c r="E755" s="282"/>
      <c r="F755" s="282"/>
      <c r="G755" s="282"/>
      <c r="H755" s="282"/>
      <c r="I755" s="282"/>
      <c r="J755" s="282"/>
      <c r="K755" s="282"/>
      <c r="L755" s="282"/>
      <c r="M755" s="282"/>
      <c r="N755" s="282"/>
      <c r="O755" s="282"/>
      <c r="P755" s="282"/>
      <c r="Q755" s="282"/>
      <c r="R755" s="282"/>
      <c r="S755" s="282"/>
      <c r="T755" s="282"/>
      <c r="U755" s="282"/>
      <c r="V755" s="282"/>
      <c r="W755" s="282"/>
      <c r="X755" s="282"/>
    </row>
    <row r="756" customFormat="false" ht="14.25" hidden="false" customHeight="false" outlineLevel="0" collapsed="false">
      <c r="A756" s="282"/>
      <c r="B756" s="282"/>
      <c r="C756" s="282"/>
      <c r="D756" s="282"/>
      <c r="E756" s="282"/>
      <c r="F756" s="282"/>
      <c r="G756" s="282"/>
      <c r="H756" s="282"/>
      <c r="I756" s="282"/>
      <c r="J756" s="282"/>
      <c r="K756" s="282"/>
      <c r="L756" s="282"/>
      <c r="M756" s="282"/>
      <c r="N756" s="282"/>
      <c r="O756" s="282"/>
      <c r="P756" s="282"/>
      <c r="Q756" s="282"/>
      <c r="R756" s="282"/>
      <c r="S756" s="282"/>
      <c r="T756" s="282"/>
      <c r="U756" s="282"/>
      <c r="V756" s="282"/>
      <c r="W756" s="282"/>
      <c r="X756" s="282"/>
    </row>
    <row r="757" customFormat="false" ht="14.25" hidden="false" customHeight="false" outlineLevel="0" collapsed="false">
      <c r="A757" s="282"/>
      <c r="B757" s="282"/>
      <c r="C757" s="282"/>
      <c r="D757" s="282"/>
      <c r="E757" s="282"/>
      <c r="F757" s="282"/>
      <c r="G757" s="282"/>
      <c r="H757" s="282"/>
      <c r="I757" s="282"/>
      <c r="J757" s="282"/>
      <c r="K757" s="282"/>
      <c r="L757" s="282"/>
      <c r="M757" s="282"/>
      <c r="N757" s="282"/>
      <c r="O757" s="282"/>
      <c r="P757" s="282"/>
      <c r="Q757" s="282"/>
      <c r="R757" s="282"/>
      <c r="S757" s="282"/>
      <c r="T757" s="282"/>
      <c r="U757" s="282"/>
      <c r="V757" s="282"/>
      <c r="W757" s="282"/>
      <c r="X757" s="282"/>
    </row>
    <row r="758" customFormat="false" ht="14.25" hidden="false" customHeight="false" outlineLevel="0" collapsed="false">
      <c r="A758" s="282"/>
      <c r="B758" s="282"/>
      <c r="C758" s="282"/>
      <c r="D758" s="282"/>
      <c r="E758" s="282"/>
      <c r="F758" s="282"/>
      <c r="G758" s="282"/>
      <c r="H758" s="282"/>
      <c r="I758" s="282"/>
      <c r="J758" s="282"/>
      <c r="K758" s="282"/>
      <c r="L758" s="282"/>
      <c r="M758" s="282"/>
      <c r="N758" s="282"/>
      <c r="O758" s="282"/>
      <c r="P758" s="282"/>
      <c r="Q758" s="282"/>
      <c r="R758" s="282"/>
      <c r="S758" s="282"/>
      <c r="T758" s="282"/>
      <c r="U758" s="282"/>
      <c r="V758" s="282"/>
      <c r="W758" s="282"/>
      <c r="X758" s="282"/>
    </row>
    <row r="759" customFormat="false" ht="14.25" hidden="false" customHeight="false" outlineLevel="0" collapsed="false">
      <c r="A759" s="282"/>
      <c r="B759" s="282"/>
      <c r="C759" s="282"/>
      <c r="D759" s="282"/>
      <c r="E759" s="282"/>
      <c r="F759" s="282"/>
      <c r="G759" s="282"/>
      <c r="H759" s="282"/>
      <c r="I759" s="282"/>
      <c r="J759" s="282"/>
      <c r="K759" s="282"/>
      <c r="L759" s="282"/>
      <c r="M759" s="282"/>
      <c r="N759" s="282"/>
      <c r="O759" s="282"/>
      <c r="P759" s="282"/>
      <c r="Q759" s="282"/>
      <c r="R759" s="282"/>
      <c r="S759" s="282"/>
      <c r="T759" s="282"/>
      <c r="U759" s="282"/>
      <c r="V759" s="282"/>
      <c r="W759" s="282"/>
      <c r="X759" s="282"/>
    </row>
    <row r="760" customFormat="false" ht="14.25" hidden="false" customHeight="false" outlineLevel="0" collapsed="false">
      <c r="A760" s="282"/>
      <c r="B760" s="282"/>
      <c r="C760" s="282"/>
      <c r="D760" s="282"/>
      <c r="E760" s="282"/>
      <c r="F760" s="282"/>
      <c r="G760" s="282"/>
      <c r="H760" s="282"/>
      <c r="I760" s="282"/>
      <c r="J760" s="282"/>
      <c r="K760" s="282"/>
      <c r="L760" s="282"/>
      <c r="M760" s="282"/>
      <c r="N760" s="282"/>
      <c r="O760" s="282"/>
      <c r="P760" s="282"/>
      <c r="Q760" s="282"/>
      <c r="R760" s="282"/>
      <c r="S760" s="282"/>
      <c r="T760" s="282"/>
      <c r="U760" s="282"/>
      <c r="V760" s="282"/>
      <c r="W760" s="282"/>
      <c r="X760" s="282"/>
    </row>
    <row r="761" customFormat="false" ht="14.25" hidden="false" customHeight="false" outlineLevel="0" collapsed="false">
      <c r="A761" s="282"/>
      <c r="B761" s="282"/>
      <c r="C761" s="282"/>
      <c r="D761" s="282"/>
      <c r="E761" s="282"/>
      <c r="F761" s="282"/>
      <c r="G761" s="282"/>
      <c r="H761" s="282"/>
      <c r="I761" s="282"/>
      <c r="J761" s="282"/>
      <c r="K761" s="282"/>
      <c r="L761" s="282"/>
      <c r="M761" s="282"/>
      <c r="N761" s="282"/>
      <c r="O761" s="282"/>
      <c r="P761" s="282"/>
      <c r="Q761" s="282"/>
      <c r="R761" s="282"/>
      <c r="S761" s="282"/>
      <c r="T761" s="282"/>
      <c r="U761" s="282"/>
      <c r="V761" s="282"/>
      <c r="W761" s="282"/>
      <c r="X761" s="282"/>
    </row>
    <row r="762" customFormat="false" ht="14.25" hidden="false" customHeight="false" outlineLevel="0" collapsed="false">
      <c r="A762" s="282"/>
      <c r="B762" s="282"/>
      <c r="C762" s="282"/>
      <c r="D762" s="282"/>
      <c r="E762" s="282"/>
      <c r="F762" s="282"/>
      <c r="G762" s="282"/>
      <c r="H762" s="282"/>
      <c r="I762" s="282"/>
      <c r="J762" s="282"/>
      <c r="K762" s="282"/>
      <c r="L762" s="282"/>
      <c r="M762" s="282"/>
      <c r="N762" s="282"/>
      <c r="O762" s="282"/>
      <c r="P762" s="282"/>
      <c r="Q762" s="282"/>
      <c r="R762" s="282"/>
      <c r="S762" s="282"/>
      <c r="T762" s="282"/>
      <c r="U762" s="282"/>
      <c r="V762" s="282"/>
      <c r="W762" s="282"/>
      <c r="X762" s="282"/>
    </row>
    <row r="763" customFormat="false" ht="14.25" hidden="false" customHeight="false" outlineLevel="0" collapsed="false">
      <c r="A763" s="282"/>
      <c r="B763" s="282"/>
      <c r="C763" s="282"/>
      <c r="D763" s="282"/>
      <c r="E763" s="282"/>
      <c r="F763" s="282"/>
      <c r="G763" s="282"/>
      <c r="H763" s="282"/>
      <c r="I763" s="282"/>
      <c r="J763" s="282"/>
      <c r="K763" s="282"/>
      <c r="L763" s="282"/>
      <c r="M763" s="282"/>
      <c r="N763" s="282"/>
      <c r="O763" s="282"/>
      <c r="P763" s="282"/>
      <c r="Q763" s="282"/>
      <c r="R763" s="282"/>
      <c r="S763" s="282"/>
      <c r="T763" s="282"/>
      <c r="U763" s="282"/>
      <c r="V763" s="282"/>
      <c r="W763" s="282"/>
      <c r="X763" s="282"/>
    </row>
    <row r="764" customFormat="false" ht="14.25" hidden="false" customHeight="false" outlineLevel="0" collapsed="false">
      <c r="A764" s="282"/>
      <c r="B764" s="282"/>
      <c r="C764" s="282"/>
      <c r="D764" s="282"/>
      <c r="E764" s="282"/>
      <c r="F764" s="282"/>
      <c r="G764" s="282"/>
      <c r="H764" s="282"/>
      <c r="I764" s="282"/>
      <c r="J764" s="282"/>
      <c r="K764" s="282"/>
      <c r="L764" s="282"/>
      <c r="M764" s="282"/>
      <c r="N764" s="282"/>
      <c r="O764" s="282"/>
      <c r="P764" s="282"/>
      <c r="Q764" s="282"/>
      <c r="R764" s="282"/>
      <c r="S764" s="282"/>
      <c r="T764" s="282"/>
      <c r="U764" s="282"/>
      <c r="V764" s="282"/>
      <c r="W764" s="282"/>
      <c r="X764" s="282"/>
    </row>
    <row r="765" customFormat="false" ht="14.25" hidden="false" customHeight="false" outlineLevel="0" collapsed="false">
      <c r="A765" s="282"/>
      <c r="B765" s="282"/>
      <c r="C765" s="282"/>
      <c r="D765" s="282"/>
      <c r="E765" s="282"/>
      <c r="F765" s="282"/>
      <c r="G765" s="282"/>
      <c r="H765" s="282"/>
      <c r="I765" s="282"/>
      <c r="J765" s="282"/>
      <c r="K765" s="282"/>
      <c r="L765" s="282"/>
      <c r="M765" s="282"/>
      <c r="N765" s="282"/>
      <c r="O765" s="282"/>
      <c r="P765" s="282"/>
      <c r="Q765" s="282"/>
      <c r="R765" s="282"/>
      <c r="S765" s="282"/>
      <c r="T765" s="282"/>
      <c r="U765" s="282"/>
      <c r="V765" s="282"/>
      <c r="W765" s="282"/>
      <c r="X765" s="282"/>
    </row>
    <row r="766" customFormat="false" ht="14.25" hidden="false" customHeight="false" outlineLevel="0" collapsed="false">
      <c r="A766" s="282"/>
      <c r="B766" s="282"/>
      <c r="C766" s="282"/>
      <c r="D766" s="282"/>
      <c r="E766" s="282"/>
      <c r="F766" s="282"/>
      <c r="G766" s="282"/>
      <c r="H766" s="282"/>
      <c r="I766" s="282"/>
      <c r="J766" s="282"/>
      <c r="K766" s="282"/>
      <c r="L766" s="282"/>
      <c r="M766" s="282"/>
      <c r="N766" s="282"/>
      <c r="O766" s="282"/>
      <c r="P766" s="282"/>
      <c r="Q766" s="282"/>
      <c r="R766" s="282"/>
      <c r="S766" s="282"/>
      <c r="T766" s="282"/>
      <c r="U766" s="282"/>
      <c r="V766" s="282"/>
      <c r="W766" s="282"/>
      <c r="X766" s="282"/>
    </row>
    <row r="767" customFormat="false" ht="14.25" hidden="false" customHeight="false" outlineLevel="0" collapsed="false">
      <c r="A767" s="282"/>
      <c r="B767" s="282"/>
      <c r="C767" s="282"/>
      <c r="D767" s="282"/>
      <c r="E767" s="282"/>
      <c r="F767" s="282"/>
      <c r="G767" s="282"/>
      <c r="H767" s="282"/>
      <c r="I767" s="282"/>
      <c r="J767" s="282"/>
      <c r="K767" s="282"/>
      <c r="L767" s="282"/>
      <c r="M767" s="282"/>
      <c r="N767" s="282"/>
      <c r="O767" s="282"/>
      <c r="P767" s="282"/>
      <c r="Q767" s="282"/>
      <c r="R767" s="282"/>
      <c r="S767" s="282"/>
      <c r="T767" s="282"/>
      <c r="U767" s="282"/>
      <c r="V767" s="282"/>
      <c r="W767" s="282"/>
      <c r="X767" s="282"/>
    </row>
    <row r="768" customFormat="false" ht="14.25" hidden="false" customHeight="false" outlineLevel="0" collapsed="false">
      <c r="A768" s="282"/>
      <c r="B768" s="282"/>
      <c r="C768" s="282"/>
      <c r="D768" s="282"/>
      <c r="E768" s="282"/>
      <c r="F768" s="282"/>
      <c r="G768" s="282"/>
      <c r="H768" s="282"/>
      <c r="I768" s="282"/>
      <c r="J768" s="282"/>
      <c r="K768" s="282"/>
      <c r="L768" s="282"/>
      <c r="M768" s="282"/>
      <c r="N768" s="282"/>
      <c r="O768" s="282"/>
      <c r="P768" s="282"/>
      <c r="Q768" s="282"/>
      <c r="R768" s="282"/>
      <c r="S768" s="282"/>
      <c r="T768" s="282"/>
      <c r="U768" s="282"/>
      <c r="V768" s="282"/>
      <c r="W768" s="282"/>
      <c r="X768" s="282"/>
    </row>
    <row r="769" customFormat="false" ht="14.25" hidden="false" customHeight="false" outlineLevel="0" collapsed="false">
      <c r="A769" s="282"/>
      <c r="B769" s="282"/>
      <c r="C769" s="282"/>
      <c r="D769" s="282"/>
      <c r="E769" s="282"/>
      <c r="F769" s="282"/>
      <c r="G769" s="282"/>
      <c r="H769" s="282"/>
      <c r="I769" s="282"/>
      <c r="J769" s="282"/>
      <c r="K769" s="282"/>
      <c r="L769" s="282"/>
      <c r="M769" s="282"/>
      <c r="N769" s="282"/>
      <c r="O769" s="282"/>
      <c r="P769" s="282"/>
      <c r="Q769" s="282"/>
      <c r="R769" s="282"/>
      <c r="S769" s="282"/>
      <c r="T769" s="282"/>
      <c r="U769" s="282"/>
      <c r="V769" s="282"/>
      <c r="W769" s="282"/>
      <c r="X769" s="282"/>
    </row>
    <row r="770" customFormat="false" ht="14.25" hidden="false" customHeight="false" outlineLevel="0" collapsed="false">
      <c r="A770" s="282"/>
      <c r="B770" s="282"/>
      <c r="C770" s="282"/>
      <c r="D770" s="282"/>
      <c r="E770" s="282"/>
      <c r="F770" s="282"/>
      <c r="G770" s="282"/>
      <c r="H770" s="282"/>
      <c r="I770" s="282"/>
      <c r="J770" s="282"/>
      <c r="K770" s="282"/>
      <c r="L770" s="282"/>
      <c r="M770" s="282"/>
      <c r="N770" s="282"/>
      <c r="O770" s="282"/>
      <c r="P770" s="282"/>
      <c r="Q770" s="282"/>
      <c r="R770" s="282"/>
      <c r="S770" s="282"/>
      <c r="T770" s="282"/>
      <c r="U770" s="282"/>
      <c r="V770" s="282"/>
      <c r="W770" s="282"/>
      <c r="X770" s="282"/>
    </row>
    <row r="771" customFormat="false" ht="14.25" hidden="false" customHeight="false" outlineLevel="0" collapsed="false">
      <c r="A771" s="282"/>
      <c r="B771" s="282"/>
      <c r="C771" s="282"/>
      <c r="D771" s="282"/>
      <c r="E771" s="282"/>
      <c r="F771" s="282"/>
      <c r="G771" s="282"/>
      <c r="H771" s="282"/>
      <c r="I771" s="282"/>
      <c r="J771" s="282"/>
      <c r="K771" s="282"/>
      <c r="L771" s="282"/>
      <c r="M771" s="282"/>
      <c r="N771" s="282"/>
      <c r="O771" s="282"/>
      <c r="P771" s="282"/>
      <c r="Q771" s="282"/>
      <c r="R771" s="282"/>
      <c r="S771" s="282"/>
      <c r="T771" s="282"/>
      <c r="U771" s="282"/>
      <c r="V771" s="282"/>
      <c r="W771" s="282"/>
      <c r="X771" s="282"/>
    </row>
    <row r="772" customFormat="false" ht="14.25" hidden="false" customHeight="false" outlineLevel="0" collapsed="false">
      <c r="A772" s="282"/>
      <c r="B772" s="282"/>
      <c r="C772" s="282"/>
      <c r="D772" s="282"/>
      <c r="E772" s="282"/>
      <c r="F772" s="282"/>
      <c r="G772" s="282"/>
      <c r="H772" s="282"/>
      <c r="I772" s="282"/>
      <c r="J772" s="282"/>
      <c r="K772" s="282"/>
      <c r="L772" s="282"/>
      <c r="M772" s="282"/>
      <c r="N772" s="282"/>
      <c r="O772" s="282"/>
      <c r="P772" s="282"/>
      <c r="Q772" s="282"/>
      <c r="R772" s="282"/>
      <c r="S772" s="282"/>
      <c r="T772" s="282"/>
      <c r="U772" s="282"/>
      <c r="V772" s="282"/>
      <c r="W772" s="282"/>
      <c r="X772" s="282"/>
    </row>
    <row r="773" customFormat="false" ht="14.25" hidden="false" customHeight="false" outlineLevel="0" collapsed="false">
      <c r="A773" s="282"/>
      <c r="B773" s="282"/>
      <c r="C773" s="282"/>
      <c r="D773" s="282"/>
      <c r="E773" s="282"/>
      <c r="F773" s="282"/>
      <c r="G773" s="282"/>
      <c r="H773" s="282"/>
      <c r="I773" s="282"/>
      <c r="J773" s="282"/>
      <c r="K773" s="282"/>
      <c r="L773" s="282"/>
      <c r="M773" s="282"/>
      <c r="N773" s="282"/>
      <c r="O773" s="282"/>
      <c r="P773" s="282"/>
      <c r="Q773" s="282"/>
      <c r="R773" s="282"/>
      <c r="S773" s="282"/>
      <c r="T773" s="282"/>
      <c r="U773" s="282"/>
      <c r="V773" s="282"/>
      <c r="W773" s="282"/>
      <c r="X773" s="282"/>
    </row>
    <row r="774" customFormat="false" ht="14.25" hidden="false" customHeight="false" outlineLevel="0" collapsed="false">
      <c r="A774" s="282"/>
      <c r="B774" s="282"/>
      <c r="C774" s="282"/>
      <c r="D774" s="282"/>
      <c r="E774" s="282"/>
      <c r="F774" s="282"/>
      <c r="G774" s="282"/>
      <c r="H774" s="282"/>
      <c r="I774" s="282"/>
      <c r="J774" s="282"/>
      <c r="K774" s="282"/>
      <c r="L774" s="282"/>
      <c r="M774" s="282"/>
      <c r="N774" s="282"/>
      <c r="O774" s="282"/>
      <c r="P774" s="282"/>
      <c r="Q774" s="282"/>
      <c r="R774" s="282"/>
      <c r="S774" s="282"/>
      <c r="T774" s="282"/>
      <c r="U774" s="282"/>
      <c r="V774" s="282"/>
      <c r="W774" s="282"/>
      <c r="X774" s="282"/>
    </row>
    <row r="775" customFormat="false" ht="14.25" hidden="false" customHeight="false" outlineLevel="0" collapsed="false">
      <c r="A775" s="282"/>
      <c r="B775" s="282"/>
      <c r="C775" s="282"/>
      <c r="D775" s="282"/>
      <c r="E775" s="282"/>
      <c r="F775" s="282"/>
      <c r="G775" s="282"/>
      <c r="H775" s="282"/>
      <c r="I775" s="282"/>
      <c r="J775" s="282"/>
      <c r="K775" s="282"/>
      <c r="L775" s="282"/>
      <c r="M775" s="282"/>
      <c r="N775" s="282"/>
      <c r="O775" s="282"/>
      <c r="P775" s="282"/>
      <c r="Q775" s="282"/>
      <c r="R775" s="282"/>
      <c r="S775" s="282"/>
      <c r="T775" s="282"/>
      <c r="U775" s="282"/>
      <c r="V775" s="282"/>
      <c r="W775" s="282"/>
      <c r="X775" s="282"/>
    </row>
    <row r="776" customFormat="false" ht="14.25" hidden="false" customHeight="false" outlineLevel="0" collapsed="false">
      <c r="A776" s="282"/>
      <c r="B776" s="282"/>
      <c r="C776" s="282"/>
      <c r="D776" s="282"/>
      <c r="E776" s="282"/>
      <c r="F776" s="282"/>
      <c r="G776" s="282"/>
      <c r="H776" s="282"/>
      <c r="I776" s="282"/>
      <c r="J776" s="282"/>
      <c r="K776" s="282"/>
      <c r="L776" s="282"/>
      <c r="M776" s="282"/>
      <c r="N776" s="282"/>
      <c r="O776" s="282"/>
      <c r="P776" s="282"/>
      <c r="Q776" s="282"/>
      <c r="R776" s="282"/>
      <c r="S776" s="282"/>
      <c r="T776" s="282"/>
      <c r="U776" s="282"/>
      <c r="V776" s="282"/>
      <c r="W776" s="282"/>
      <c r="X776" s="282"/>
    </row>
    <row r="777" customFormat="false" ht="14.25" hidden="false" customHeight="false" outlineLevel="0" collapsed="false">
      <c r="A777" s="282"/>
      <c r="B777" s="282"/>
      <c r="C777" s="282"/>
      <c r="D777" s="282"/>
      <c r="E777" s="282"/>
      <c r="F777" s="282"/>
      <c r="G777" s="282"/>
      <c r="H777" s="282"/>
      <c r="I777" s="282"/>
      <c r="J777" s="282"/>
      <c r="K777" s="282"/>
      <c r="L777" s="282"/>
      <c r="M777" s="282"/>
      <c r="N777" s="282"/>
      <c r="O777" s="282"/>
      <c r="P777" s="282"/>
      <c r="Q777" s="282"/>
      <c r="R777" s="282"/>
      <c r="S777" s="282"/>
      <c r="T777" s="282"/>
      <c r="U777" s="282"/>
      <c r="V777" s="282"/>
      <c r="W777" s="282"/>
      <c r="X777" s="282"/>
    </row>
    <row r="778" customFormat="false" ht="14.25" hidden="false" customHeight="false" outlineLevel="0" collapsed="false">
      <c r="A778" s="282"/>
      <c r="B778" s="282"/>
      <c r="C778" s="282"/>
      <c r="D778" s="282"/>
      <c r="E778" s="282"/>
      <c r="F778" s="282"/>
      <c r="G778" s="282"/>
      <c r="H778" s="282"/>
      <c r="I778" s="282"/>
      <c r="J778" s="282"/>
      <c r="K778" s="282"/>
      <c r="L778" s="282"/>
      <c r="M778" s="282"/>
      <c r="N778" s="282"/>
      <c r="O778" s="282"/>
      <c r="P778" s="282"/>
      <c r="Q778" s="282"/>
      <c r="R778" s="282"/>
      <c r="S778" s="282"/>
      <c r="T778" s="282"/>
      <c r="U778" s="282"/>
      <c r="V778" s="282"/>
      <c r="W778" s="282"/>
      <c r="X778" s="282"/>
    </row>
    <row r="779" customFormat="false" ht="14.25" hidden="false" customHeight="false" outlineLevel="0" collapsed="false">
      <c r="A779" s="282"/>
      <c r="B779" s="282"/>
      <c r="C779" s="282"/>
      <c r="D779" s="282"/>
      <c r="E779" s="282"/>
      <c r="F779" s="282"/>
      <c r="G779" s="282"/>
      <c r="H779" s="282"/>
      <c r="I779" s="282"/>
      <c r="J779" s="282"/>
      <c r="K779" s="282"/>
      <c r="L779" s="282"/>
      <c r="M779" s="282"/>
      <c r="N779" s="282"/>
      <c r="O779" s="282"/>
      <c r="P779" s="282"/>
      <c r="Q779" s="282"/>
      <c r="R779" s="282"/>
      <c r="S779" s="282"/>
      <c r="T779" s="282"/>
      <c r="U779" s="282"/>
      <c r="V779" s="282"/>
      <c r="W779" s="282"/>
      <c r="X779" s="282"/>
    </row>
    <row r="780" customFormat="false" ht="14.25" hidden="false" customHeight="false" outlineLevel="0" collapsed="false">
      <c r="A780" s="282"/>
      <c r="B780" s="282"/>
      <c r="C780" s="282"/>
      <c r="D780" s="282"/>
      <c r="E780" s="282"/>
      <c r="F780" s="282"/>
      <c r="G780" s="282"/>
      <c r="H780" s="282"/>
      <c r="I780" s="282"/>
      <c r="J780" s="282"/>
      <c r="K780" s="282"/>
      <c r="L780" s="282"/>
      <c r="M780" s="282"/>
      <c r="N780" s="282"/>
      <c r="O780" s="282"/>
      <c r="P780" s="282"/>
      <c r="Q780" s="282"/>
      <c r="R780" s="282"/>
      <c r="S780" s="282"/>
      <c r="T780" s="282"/>
      <c r="U780" s="282"/>
      <c r="V780" s="282"/>
      <c r="W780" s="282"/>
      <c r="X780" s="282"/>
    </row>
    <row r="781" customFormat="false" ht="14.25" hidden="false" customHeight="false" outlineLevel="0" collapsed="false">
      <c r="A781" s="282"/>
      <c r="B781" s="282"/>
      <c r="C781" s="282"/>
      <c r="D781" s="282"/>
      <c r="E781" s="282"/>
      <c r="F781" s="282"/>
      <c r="G781" s="282"/>
      <c r="H781" s="282"/>
      <c r="I781" s="282"/>
      <c r="J781" s="282"/>
      <c r="K781" s="282"/>
      <c r="L781" s="282"/>
      <c r="M781" s="282"/>
      <c r="N781" s="282"/>
      <c r="O781" s="282"/>
      <c r="P781" s="282"/>
      <c r="Q781" s="282"/>
      <c r="R781" s="282"/>
      <c r="S781" s="282"/>
      <c r="T781" s="282"/>
      <c r="U781" s="282"/>
      <c r="V781" s="282"/>
      <c r="W781" s="282"/>
      <c r="X781" s="282"/>
    </row>
    <row r="782" customFormat="false" ht="14.25" hidden="false" customHeight="false" outlineLevel="0" collapsed="false">
      <c r="A782" s="282"/>
      <c r="B782" s="282"/>
      <c r="C782" s="282"/>
      <c r="D782" s="282"/>
      <c r="E782" s="282"/>
      <c r="F782" s="282"/>
      <c r="G782" s="282"/>
      <c r="H782" s="282"/>
      <c r="I782" s="282"/>
      <c r="J782" s="282"/>
      <c r="K782" s="282"/>
      <c r="L782" s="282"/>
      <c r="M782" s="282"/>
      <c r="N782" s="282"/>
      <c r="O782" s="282"/>
      <c r="P782" s="282"/>
      <c r="Q782" s="282"/>
      <c r="R782" s="282"/>
      <c r="S782" s="282"/>
      <c r="T782" s="282"/>
      <c r="U782" s="282"/>
      <c r="V782" s="282"/>
      <c r="W782" s="282"/>
      <c r="X782" s="282"/>
    </row>
    <row r="783" customFormat="false" ht="14.25" hidden="false" customHeight="false" outlineLevel="0" collapsed="false">
      <c r="A783" s="282"/>
      <c r="B783" s="282"/>
      <c r="C783" s="282"/>
      <c r="D783" s="282"/>
      <c r="E783" s="282"/>
      <c r="F783" s="282"/>
      <c r="G783" s="282"/>
      <c r="H783" s="282"/>
      <c r="I783" s="282"/>
      <c r="J783" s="282"/>
      <c r="K783" s="282"/>
      <c r="L783" s="282"/>
      <c r="M783" s="282"/>
      <c r="N783" s="282"/>
      <c r="O783" s="282"/>
      <c r="P783" s="282"/>
      <c r="Q783" s="282"/>
      <c r="R783" s="282"/>
      <c r="S783" s="282"/>
      <c r="T783" s="282"/>
      <c r="U783" s="282"/>
      <c r="V783" s="282"/>
      <c r="W783" s="282"/>
      <c r="X783" s="282"/>
    </row>
    <row r="784" customFormat="false" ht="14.25" hidden="false" customHeight="false" outlineLevel="0" collapsed="false">
      <c r="A784" s="282"/>
      <c r="B784" s="282"/>
      <c r="C784" s="282"/>
      <c r="D784" s="282"/>
      <c r="E784" s="282"/>
      <c r="F784" s="282"/>
      <c r="G784" s="282"/>
      <c r="H784" s="282"/>
      <c r="I784" s="282"/>
      <c r="J784" s="282"/>
      <c r="K784" s="282"/>
      <c r="L784" s="282"/>
      <c r="M784" s="282"/>
      <c r="N784" s="282"/>
      <c r="O784" s="282"/>
      <c r="P784" s="282"/>
      <c r="Q784" s="282"/>
      <c r="R784" s="282"/>
      <c r="S784" s="282"/>
      <c r="T784" s="282"/>
      <c r="U784" s="282"/>
      <c r="V784" s="282"/>
      <c r="W784" s="282"/>
      <c r="X784" s="282"/>
    </row>
    <row r="785" customFormat="false" ht="14.25" hidden="false" customHeight="false" outlineLevel="0" collapsed="false">
      <c r="A785" s="282"/>
      <c r="B785" s="282"/>
      <c r="C785" s="282"/>
      <c r="D785" s="282"/>
      <c r="E785" s="282"/>
      <c r="F785" s="282"/>
      <c r="G785" s="282"/>
      <c r="H785" s="282"/>
      <c r="I785" s="282"/>
      <c r="J785" s="282"/>
      <c r="K785" s="282"/>
      <c r="L785" s="282"/>
      <c r="M785" s="282"/>
      <c r="N785" s="282"/>
      <c r="O785" s="282"/>
      <c r="P785" s="282"/>
      <c r="Q785" s="282"/>
      <c r="R785" s="282"/>
      <c r="S785" s="282"/>
      <c r="T785" s="282"/>
      <c r="U785" s="282"/>
      <c r="V785" s="282"/>
      <c r="W785" s="282"/>
      <c r="X785" s="282"/>
    </row>
    <row r="786" customFormat="false" ht="14.25" hidden="false" customHeight="false" outlineLevel="0" collapsed="false">
      <c r="A786" s="282"/>
      <c r="B786" s="282"/>
      <c r="C786" s="282"/>
      <c r="D786" s="282"/>
      <c r="E786" s="282"/>
      <c r="F786" s="282"/>
      <c r="G786" s="282"/>
      <c r="H786" s="282"/>
      <c r="I786" s="282"/>
      <c r="J786" s="282"/>
      <c r="K786" s="282"/>
      <c r="L786" s="282"/>
      <c r="M786" s="282"/>
      <c r="N786" s="282"/>
      <c r="O786" s="282"/>
      <c r="P786" s="282"/>
      <c r="Q786" s="282"/>
      <c r="R786" s="282"/>
      <c r="S786" s="282"/>
      <c r="T786" s="282"/>
      <c r="U786" s="282"/>
      <c r="V786" s="282"/>
      <c r="W786" s="282"/>
      <c r="X786" s="282"/>
    </row>
    <row r="787" customFormat="false" ht="14.25" hidden="false" customHeight="false" outlineLevel="0" collapsed="false">
      <c r="A787" s="282"/>
      <c r="B787" s="282"/>
      <c r="C787" s="282"/>
      <c r="D787" s="282"/>
      <c r="E787" s="282"/>
      <c r="F787" s="282"/>
      <c r="G787" s="282"/>
      <c r="H787" s="282"/>
      <c r="I787" s="282"/>
      <c r="J787" s="282"/>
      <c r="K787" s="282"/>
      <c r="L787" s="282"/>
      <c r="M787" s="282"/>
      <c r="N787" s="282"/>
      <c r="O787" s="282"/>
      <c r="P787" s="282"/>
      <c r="Q787" s="282"/>
      <c r="R787" s="282"/>
      <c r="S787" s="282"/>
      <c r="T787" s="282"/>
      <c r="U787" s="282"/>
      <c r="V787" s="282"/>
      <c r="W787" s="282"/>
      <c r="X787" s="282"/>
    </row>
    <row r="788" customFormat="false" ht="14.25" hidden="false" customHeight="false" outlineLevel="0" collapsed="false">
      <c r="A788" s="282"/>
      <c r="B788" s="282"/>
      <c r="C788" s="282"/>
      <c r="D788" s="282"/>
      <c r="E788" s="282"/>
      <c r="F788" s="282"/>
      <c r="G788" s="282"/>
      <c r="H788" s="282"/>
      <c r="I788" s="282"/>
      <c r="J788" s="282"/>
      <c r="K788" s="282"/>
      <c r="L788" s="282"/>
      <c r="M788" s="282"/>
      <c r="N788" s="282"/>
      <c r="O788" s="282"/>
      <c r="P788" s="282"/>
      <c r="Q788" s="282"/>
      <c r="R788" s="282"/>
      <c r="S788" s="282"/>
      <c r="T788" s="282"/>
      <c r="U788" s="282"/>
      <c r="V788" s="282"/>
      <c r="W788" s="282"/>
      <c r="X788" s="282"/>
    </row>
    <row r="789" customFormat="false" ht="14.25" hidden="false" customHeight="false" outlineLevel="0" collapsed="false">
      <c r="A789" s="282"/>
      <c r="B789" s="282"/>
      <c r="C789" s="282"/>
      <c r="D789" s="282"/>
      <c r="E789" s="282"/>
      <c r="F789" s="282"/>
      <c r="G789" s="282"/>
      <c r="H789" s="282"/>
      <c r="I789" s="282"/>
      <c r="J789" s="282"/>
      <c r="K789" s="282"/>
      <c r="L789" s="282"/>
      <c r="M789" s="282"/>
      <c r="N789" s="282"/>
      <c r="O789" s="282"/>
      <c r="P789" s="282"/>
      <c r="Q789" s="282"/>
      <c r="R789" s="282"/>
      <c r="S789" s="282"/>
      <c r="T789" s="282"/>
      <c r="U789" s="282"/>
      <c r="V789" s="282"/>
      <c r="W789" s="282"/>
      <c r="X789" s="282"/>
    </row>
    <row r="790" customFormat="false" ht="14.25" hidden="false" customHeight="false" outlineLevel="0" collapsed="false">
      <c r="A790" s="282"/>
      <c r="B790" s="282"/>
      <c r="C790" s="282"/>
      <c r="D790" s="282"/>
      <c r="E790" s="282"/>
      <c r="F790" s="282"/>
      <c r="G790" s="282"/>
      <c r="H790" s="282"/>
      <c r="I790" s="282"/>
      <c r="J790" s="282"/>
      <c r="K790" s="282"/>
      <c r="L790" s="282"/>
      <c r="M790" s="282"/>
      <c r="N790" s="282"/>
      <c r="O790" s="282"/>
      <c r="P790" s="282"/>
      <c r="Q790" s="282"/>
      <c r="R790" s="282"/>
      <c r="S790" s="282"/>
      <c r="T790" s="282"/>
      <c r="U790" s="282"/>
      <c r="V790" s="282"/>
      <c r="W790" s="282"/>
      <c r="X790" s="282"/>
    </row>
    <row r="791" customFormat="false" ht="14.25" hidden="false" customHeight="false" outlineLevel="0" collapsed="false">
      <c r="A791" s="282"/>
      <c r="B791" s="282"/>
      <c r="C791" s="282"/>
      <c r="D791" s="282"/>
      <c r="E791" s="282"/>
      <c r="F791" s="282"/>
      <c r="G791" s="282"/>
      <c r="H791" s="282"/>
      <c r="I791" s="282"/>
      <c r="J791" s="282"/>
      <c r="K791" s="282"/>
      <c r="L791" s="282"/>
      <c r="M791" s="282"/>
      <c r="N791" s="282"/>
      <c r="O791" s="282"/>
      <c r="P791" s="282"/>
      <c r="Q791" s="282"/>
      <c r="R791" s="282"/>
      <c r="S791" s="282"/>
      <c r="T791" s="282"/>
      <c r="U791" s="282"/>
      <c r="V791" s="282"/>
      <c r="W791" s="282"/>
      <c r="X791" s="282"/>
    </row>
    <row r="792" customFormat="false" ht="14.25" hidden="false" customHeight="false" outlineLevel="0" collapsed="false">
      <c r="A792" s="282"/>
      <c r="B792" s="282"/>
      <c r="C792" s="282"/>
      <c r="D792" s="282"/>
      <c r="E792" s="282"/>
      <c r="F792" s="282"/>
      <c r="G792" s="282"/>
      <c r="H792" s="282"/>
      <c r="I792" s="282"/>
      <c r="J792" s="282"/>
      <c r="K792" s="282"/>
      <c r="L792" s="282"/>
      <c r="M792" s="282"/>
      <c r="N792" s="282"/>
      <c r="O792" s="282"/>
      <c r="P792" s="282"/>
      <c r="Q792" s="282"/>
      <c r="R792" s="282"/>
      <c r="S792" s="282"/>
      <c r="T792" s="282"/>
      <c r="U792" s="282"/>
      <c r="V792" s="282"/>
      <c r="W792" s="282"/>
      <c r="X792" s="282"/>
    </row>
    <row r="793" customFormat="false" ht="14.25" hidden="false" customHeight="false" outlineLevel="0" collapsed="false">
      <c r="A793" s="282"/>
      <c r="B793" s="282"/>
      <c r="C793" s="282"/>
      <c r="D793" s="282"/>
      <c r="E793" s="282"/>
      <c r="F793" s="282"/>
      <c r="G793" s="282"/>
      <c r="H793" s="282"/>
      <c r="I793" s="282"/>
      <c r="J793" s="282"/>
      <c r="K793" s="282"/>
      <c r="L793" s="282"/>
      <c r="M793" s="282"/>
      <c r="N793" s="282"/>
      <c r="O793" s="282"/>
      <c r="P793" s="282"/>
      <c r="Q793" s="282"/>
      <c r="R793" s="282"/>
      <c r="S793" s="282"/>
      <c r="T793" s="282"/>
      <c r="U793" s="282"/>
      <c r="V793" s="282"/>
      <c r="W793" s="282"/>
      <c r="X793" s="282"/>
    </row>
    <row r="794" customFormat="false" ht="14.25" hidden="false" customHeight="false" outlineLevel="0" collapsed="false">
      <c r="A794" s="282"/>
      <c r="B794" s="282"/>
      <c r="C794" s="282"/>
      <c r="D794" s="282"/>
      <c r="E794" s="282"/>
      <c r="F794" s="282"/>
      <c r="G794" s="282"/>
      <c r="H794" s="282"/>
      <c r="I794" s="282"/>
      <c r="J794" s="282"/>
      <c r="K794" s="282"/>
      <c r="L794" s="282"/>
      <c r="M794" s="282"/>
      <c r="N794" s="282"/>
      <c r="O794" s="282"/>
      <c r="P794" s="282"/>
      <c r="Q794" s="282"/>
      <c r="R794" s="282"/>
      <c r="S794" s="282"/>
      <c r="T794" s="282"/>
      <c r="U794" s="282"/>
      <c r="V794" s="282"/>
      <c r="W794" s="282"/>
      <c r="X794" s="282"/>
    </row>
    <row r="795" customFormat="false" ht="14.25" hidden="false" customHeight="false" outlineLevel="0" collapsed="false">
      <c r="A795" s="282"/>
      <c r="B795" s="282"/>
      <c r="C795" s="282"/>
      <c r="D795" s="282"/>
      <c r="E795" s="282"/>
      <c r="F795" s="282"/>
      <c r="G795" s="282"/>
      <c r="H795" s="282"/>
      <c r="I795" s="282"/>
      <c r="J795" s="282"/>
      <c r="K795" s="282"/>
      <c r="L795" s="282"/>
      <c r="M795" s="282"/>
      <c r="N795" s="282"/>
      <c r="O795" s="282"/>
      <c r="P795" s="282"/>
      <c r="Q795" s="282"/>
      <c r="R795" s="282"/>
      <c r="S795" s="282"/>
      <c r="T795" s="282"/>
      <c r="U795" s="282"/>
      <c r="V795" s="282"/>
      <c r="W795" s="282"/>
      <c r="X795" s="282"/>
    </row>
    <row r="796" customFormat="false" ht="14.25" hidden="false" customHeight="false" outlineLevel="0" collapsed="false">
      <c r="A796" s="282"/>
      <c r="B796" s="282"/>
      <c r="C796" s="282"/>
      <c r="D796" s="282"/>
      <c r="E796" s="282"/>
      <c r="F796" s="282"/>
      <c r="G796" s="282"/>
      <c r="H796" s="282"/>
      <c r="I796" s="282"/>
      <c r="J796" s="282"/>
      <c r="K796" s="282"/>
      <c r="L796" s="282"/>
      <c r="M796" s="282"/>
      <c r="N796" s="282"/>
      <c r="O796" s="282"/>
      <c r="P796" s="282"/>
      <c r="Q796" s="282"/>
      <c r="R796" s="282"/>
      <c r="S796" s="282"/>
      <c r="T796" s="282"/>
      <c r="U796" s="282"/>
      <c r="V796" s="282"/>
      <c r="W796" s="282"/>
      <c r="X796" s="282"/>
    </row>
    <row r="797" customFormat="false" ht="14.25" hidden="false" customHeight="false" outlineLevel="0" collapsed="false">
      <c r="A797" s="282"/>
      <c r="B797" s="282"/>
      <c r="C797" s="282"/>
      <c r="D797" s="282"/>
      <c r="E797" s="282"/>
      <c r="F797" s="282"/>
      <c r="G797" s="282"/>
      <c r="H797" s="282"/>
      <c r="I797" s="282"/>
      <c r="J797" s="282"/>
      <c r="K797" s="282"/>
      <c r="L797" s="282"/>
      <c r="M797" s="282"/>
      <c r="N797" s="282"/>
      <c r="O797" s="282"/>
      <c r="P797" s="282"/>
      <c r="Q797" s="282"/>
      <c r="R797" s="282"/>
      <c r="S797" s="282"/>
      <c r="T797" s="282"/>
      <c r="U797" s="282"/>
      <c r="V797" s="282"/>
      <c r="W797" s="282"/>
      <c r="X797" s="282"/>
    </row>
    <row r="798" customFormat="false" ht="14.25" hidden="false" customHeight="false" outlineLevel="0" collapsed="false">
      <c r="A798" s="282"/>
      <c r="B798" s="282"/>
      <c r="C798" s="282"/>
      <c r="D798" s="282"/>
      <c r="E798" s="282"/>
      <c r="F798" s="282"/>
      <c r="G798" s="282"/>
      <c r="H798" s="282"/>
      <c r="I798" s="282"/>
      <c r="J798" s="282"/>
      <c r="K798" s="282"/>
      <c r="L798" s="282"/>
      <c r="M798" s="282"/>
      <c r="N798" s="282"/>
      <c r="O798" s="282"/>
      <c r="P798" s="282"/>
      <c r="Q798" s="282"/>
      <c r="R798" s="282"/>
      <c r="S798" s="282"/>
      <c r="T798" s="282"/>
      <c r="U798" s="282"/>
      <c r="V798" s="282"/>
      <c r="W798" s="282"/>
      <c r="X798" s="282"/>
    </row>
    <row r="799" customFormat="false" ht="14.25" hidden="false" customHeight="false" outlineLevel="0" collapsed="false">
      <c r="A799" s="282"/>
      <c r="B799" s="282"/>
      <c r="C799" s="282"/>
      <c r="D799" s="282"/>
      <c r="E799" s="282"/>
      <c r="F799" s="282"/>
      <c r="G799" s="282"/>
      <c r="H799" s="282"/>
      <c r="I799" s="282"/>
      <c r="J799" s="282"/>
      <c r="K799" s="282"/>
      <c r="L799" s="282"/>
      <c r="M799" s="282"/>
      <c r="N799" s="282"/>
      <c r="O799" s="282"/>
      <c r="P799" s="282"/>
      <c r="Q799" s="282"/>
      <c r="R799" s="282"/>
      <c r="S799" s="282"/>
      <c r="T799" s="282"/>
      <c r="U799" s="282"/>
      <c r="V799" s="282"/>
      <c r="W799" s="282"/>
      <c r="X799" s="282"/>
    </row>
    <row r="800" customFormat="false" ht="14.25" hidden="false" customHeight="false" outlineLevel="0" collapsed="false">
      <c r="A800" s="282"/>
      <c r="B800" s="282"/>
      <c r="C800" s="282"/>
      <c r="D800" s="282"/>
      <c r="E800" s="282"/>
      <c r="F800" s="282"/>
      <c r="G800" s="282"/>
      <c r="H800" s="282"/>
      <c r="I800" s="282"/>
      <c r="J800" s="282"/>
      <c r="K800" s="282"/>
      <c r="L800" s="282"/>
      <c r="M800" s="282"/>
      <c r="N800" s="282"/>
      <c r="O800" s="282"/>
      <c r="P800" s="282"/>
      <c r="Q800" s="282"/>
      <c r="R800" s="282"/>
      <c r="S800" s="282"/>
      <c r="T800" s="282"/>
      <c r="U800" s="282"/>
      <c r="V800" s="282"/>
      <c r="W800" s="282"/>
      <c r="X800" s="282"/>
    </row>
    <row r="801" customFormat="false" ht="14.25" hidden="false" customHeight="false" outlineLevel="0" collapsed="false">
      <c r="A801" s="282"/>
      <c r="B801" s="282"/>
      <c r="C801" s="282"/>
      <c r="D801" s="282"/>
      <c r="E801" s="282"/>
      <c r="F801" s="282"/>
      <c r="G801" s="282"/>
      <c r="H801" s="282"/>
      <c r="I801" s="282"/>
      <c r="J801" s="282"/>
      <c r="K801" s="282"/>
      <c r="L801" s="282"/>
      <c r="M801" s="282"/>
      <c r="N801" s="282"/>
      <c r="O801" s="282"/>
      <c r="P801" s="282"/>
      <c r="Q801" s="282"/>
      <c r="R801" s="282"/>
      <c r="S801" s="282"/>
      <c r="T801" s="282"/>
      <c r="U801" s="282"/>
      <c r="V801" s="282"/>
      <c r="W801" s="282"/>
      <c r="X801" s="282"/>
    </row>
    <row r="802" customFormat="false" ht="14.25" hidden="false" customHeight="false" outlineLevel="0" collapsed="false">
      <c r="A802" s="282"/>
      <c r="B802" s="282"/>
      <c r="C802" s="282"/>
      <c r="D802" s="282"/>
      <c r="E802" s="282"/>
      <c r="F802" s="282"/>
      <c r="G802" s="282"/>
      <c r="H802" s="282"/>
      <c r="I802" s="282"/>
      <c r="J802" s="282"/>
      <c r="K802" s="282"/>
      <c r="L802" s="282"/>
      <c r="M802" s="282"/>
      <c r="N802" s="282"/>
      <c r="O802" s="282"/>
      <c r="P802" s="282"/>
      <c r="Q802" s="282"/>
      <c r="R802" s="282"/>
      <c r="S802" s="282"/>
      <c r="T802" s="282"/>
      <c r="U802" s="282"/>
      <c r="V802" s="282"/>
      <c r="W802" s="282"/>
      <c r="X802" s="282"/>
    </row>
    <row r="803" customFormat="false" ht="14.25" hidden="false" customHeight="false" outlineLevel="0" collapsed="false">
      <c r="A803" s="282"/>
      <c r="B803" s="282"/>
      <c r="C803" s="282"/>
      <c r="D803" s="282"/>
      <c r="E803" s="282"/>
      <c r="F803" s="282"/>
      <c r="G803" s="282"/>
      <c r="H803" s="282"/>
      <c r="I803" s="282"/>
      <c r="J803" s="282"/>
      <c r="K803" s="282"/>
      <c r="L803" s="282"/>
      <c r="M803" s="282"/>
      <c r="N803" s="282"/>
      <c r="O803" s="282"/>
      <c r="P803" s="282"/>
      <c r="Q803" s="282"/>
      <c r="R803" s="282"/>
      <c r="S803" s="282"/>
      <c r="T803" s="282"/>
      <c r="U803" s="282"/>
      <c r="V803" s="282"/>
      <c r="W803" s="282"/>
      <c r="X803" s="282"/>
    </row>
    <row r="804" customFormat="false" ht="14.25" hidden="false" customHeight="false" outlineLevel="0" collapsed="false">
      <c r="A804" s="282"/>
      <c r="B804" s="282"/>
      <c r="C804" s="282"/>
      <c r="D804" s="282"/>
      <c r="E804" s="282"/>
      <c r="F804" s="282"/>
      <c r="G804" s="282"/>
      <c r="H804" s="282"/>
      <c r="I804" s="282"/>
      <c r="J804" s="282"/>
      <c r="K804" s="282"/>
      <c r="L804" s="282"/>
      <c r="M804" s="282"/>
      <c r="N804" s="282"/>
      <c r="O804" s="282"/>
      <c r="P804" s="282"/>
      <c r="Q804" s="282"/>
      <c r="R804" s="282"/>
      <c r="S804" s="282"/>
      <c r="T804" s="282"/>
      <c r="U804" s="282"/>
      <c r="V804" s="282"/>
      <c r="W804" s="282"/>
      <c r="X804" s="282"/>
    </row>
    <row r="805" customFormat="false" ht="14.25" hidden="false" customHeight="false" outlineLevel="0" collapsed="false">
      <c r="A805" s="282"/>
      <c r="B805" s="282"/>
      <c r="C805" s="282"/>
      <c r="D805" s="282"/>
      <c r="E805" s="282"/>
      <c r="F805" s="282"/>
      <c r="G805" s="282"/>
      <c r="H805" s="282"/>
      <c r="I805" s="282"/>
      <c r="J805" s="282"/>
      <c r="K805" s="282"/>
      <c r="L805" s="282"/>
      <c r="M805" s="282"/>
      <c r="N805" s="282"/>
      <c r="O805" s="282"/>
      <c r="P805" s="282"/>
      <c r="Q805" s="282"/>
      <c r="R805" s="282"/>
      <c r="S805" s="282"/>
      <c r="T805" s="282"/>
      <c r="U805" s="282"/>
      <c r="V805" s="282"/>
      <c r="W805" s="282"/>
      <c r="X805" s="282"/>
    </row>
    <row r="806" customFormat="false" ht="14.25" hidden="false" customHeight="false" outlineLevel="0" collapsed="false">
      <c r="A806" s="282"/>
      <c r="B806" s="282"/>
      <c r="C806" s="282"/>
      <c r="D806" s="282"/>
      <c r="E806" s="282"/>
      <c r="F806" s="282"/>
      <c r="G806" s="282"/>
      <c r="H806" s="282"/>
      <c r="I806" s="282"/>
      <c r="J806" s="282"/>
      <c r="K806" s="282"/>
      <c r="L806" s="282"/>
      <c r="M806" s="282"/>
      <c r="N806" s="282"/>
      <c r="O806" s="282"/>
      <c r="P806" s="282"/>
      <c r="Q806" s="282"/>
      <c r="R806" s="282"/>
      <c r="S806" s="282"/>
      <c r="T806" s="282"/>
      <c r="U806" s="282"/>
      <c r="V806" s="282"/>
      <c r="W806" s="282"/>
      <c r="X806" s="282"/>
    </row>
    <row r="807" customFormat="false" ht="14.25" hidden="false" customHeight="false" outlineLevel="0" collapsed="false">
      <c r="A807" s="282"/>
      <c r="B807" s="282"/>
      <c r="C807" s="282"/>
      <c r="D807" s="282"/>
      <c r="E807" s="282"/>
      <c r="F807" s="282"/>
      <c r="G807" s="282"/>
      <c r="H807" s="282"/>
      <c r="I807" s="282"/>
      <c r="J807" s="282"/>
      <c r="K807" s="282"/>
      <c r="L807" s="282"/>
      <c r="M807" s="282"/>
      <c r="N807" s="282"/>
      <c r="O807" s="282"/>
      <c r="P807" s="282"/>
      <c r="Q807" s="282"/>
      <c r="R807" s="282"/>
      <c r="S807" s="282"/>
      <c r="T807" s="282"/>
      <c r="U807" s="282"/>
      <c r="V807" s="282"/>
      <c r="W807" s="282"/>
      <c r="X807" s="282"/>
    </row>
    <row r="808" customFormat="false" ht="14.25" hidden="false" customHeight="false" outlineLevel="0" collapsed="false">
      <c r="A808" s="282"/>
      <c r="B808" s="282"/>
      <c r="C808" s="282"/>
      <c r="D808" s="282"/>
      <c r="E808" s="282"/>
      <c r="F808" s="282"/>
      <c r="G808" s="282"/>
      <c r="H808" s="282"/>
      <c r="I808" s="282"/>
      <c r="J808" s="282"/>
      <c r="K808" s="282"/>
      <c r="L808" s="282"/>
      <c r="M808" s="282"/>
      <c r="N808" s="282"/>
      <c r="O808" s="282"/>
      <c r="P808" s="282"/>
      <c r="Q808" s="282"/>
      <c r="R808" s="282"/>
      <c r="S808" s="282"/>
      <c r="T808" s="282"/>
      <c r="U808" s="282"/>
      <c r="V808" s="282"/>
      <c r="W808" s="282"/>
      <c r="X808" s="282"/>
    </row>
    <row r="809" customFormat="false" ht="14.25" hidden="false" customHeight="false" outlineLevel="0" collapsed="false">
      <c r="A809" s="282"/>
      <c r="B809" s="282"/>
      <c r="C809" s="282"/>
      <c r="D809" s="282"/>
      <c r="E809" s="282"/>
      <c r="F809" s="282"/>
      <c r="G809" s="282"/>
      <c r="H809" s="282"/>
      <c r="I809" s="282"/>
      <c r="J809" s="282"/>
      <c r="K809" s="282"/>
      <c r="L809" s="282"/>
      <c r="M809" s="282"/>
      <c r="N809" s="282"/>
      <c r="O809" s="282"/>
      <c r="P809" s="282"/>
      <c r="Q809" s="282"/>
      <c r="R809" s="282"/>
      <c r="S809" s="282"/>
      <c r="T809" s="282"/>
      <c r="U809" s="282"/>
      <c r="V809" s="282"/>
      <c r="W809" s="282"/>
      <c r="X809" s="282"/>
    </row>
    <row r="810" customFormat="false" ht="14.25" hidden="false" customHeight="false" outlineLevel="0" collapsed="false">
      <c r="A810" s="282"/>
      <c r="B810" s="282"/>
      <c r="C810" s="282"/>
      <c r="D810" s="282"/>
      <c r="E810" s="282"/>
      <c r="F810" s="282"/>
      <c r="G810" s="282"/>
      <c r="H810" s="282"/>
      <c r="I810" s="282"/>
      <c r="J810" s="282"/>
      <c r="K810" s="282"/>
      <c r="L810" s="282"/>
      <c r="M810" s="282"/>
      <c r="N810" s="282"/>
      <c r="O810" s="282"/>
      <c r="P810" s="282"/>
      <c r="Q810" s="282"/>
      <c r="R810" s="282"/>
      <c r="S810" s="282"/>
      <c r="T810" s="282"/>
      <c r="U810" s="282"/>
      <c r="V810" s="282"/>
      <c r="W810" s="282"/>
      <c r="X810" s="282"/>
    </row>
    <row r="811" customFormat="false" ht="14.25" hidden="false" customHeight="false" outlineLevel="0" collapsed="false">
      <c r="A811" s="282"/>
      <c r="B811" s="282"/>
      <c r="C811" s="282"/>
      <c r="D811" s="282"/>
      <c r="E811" s="282"/>
      <c r="F811" s="282"/>
      <c r="G811" s="282"/>
      <c r="H811" s="282"/>
      <c r="I811" s="282"/>
      <c r="J811" s="282"/>
      <c r="K811" s="282"/>
      <c r="L811" s="282"/>
      <c r="M811" s="282"/>
      <c r="N811" s="282"/>
      <c r="O811" s="282"/>
      <c r="P811" s="282"/>
      <c r="Q811" s="282"/>
      <c r="R811" s="282"/>
      <c r="S811" s="282"/>
      <c r="T811" s="282"/>
      <c r="U811" s="282"/>
      <c r="V811" s="282"/>
      <c r="W811" s="282"/>
      <c r="X811" s="282"/>
    </row>
    <row r="812" customFormat="false" ht="14.25" hidden="false" customHeight="false" outlineLevel="0" collapsed="false">
      <c r="A812" s="282"/>
      <c r="B812" s="282"/>
      <c r="C812" s="282"/>
      <c r="D812" s="282"/>
      <c r="E812" s="282"/>
      <c r="F812" s="282"/>
      <c r="G812" s="282"/>
      <c r="H812" s="282"/>
      <c r="I812" s="282"/>
      <c r="J812" s="282"/>
      <c r="K812" s="282"/>
      <c r="L812" s="282"/>
      <c r="M812" s="282"/>
      <c r="N812" s="282"/>
      <c r="O812" s="282"/>
      <c r="P812" s="282"/>
      <c r="Q812" s="282"/>
      <c r="R812" s="282"/>
      <c r="S812" s="282"/>
      <c r="T812" s="282"/>
      <c r="U812" s="282"/>
      <c r="V812" s="282"/>
      <c r="W812" s="282"/>
      <c r="X812" s="282"/>
    </row>
    <row r="813" customFormat="false" ht="14.25" hidden="false" customHeight="false" outlineLevel="0" collapsed="false">
      <c r="A813" s="282"/>
      <c r="B813" s="282"/>
      <c r="C813" s="282"/>
      <c r="D813" s="282"/>
      <c r="E813" s="282"/>
      <c r="F813" s="282"/>
      <c r="G813" s="282"/>
      <c r="H813" s="282"/>
      <c r="I813" s="282"/>
      <c r="J813" s="282"/>
      <c r="K813" s="282"/>
      <c r="L813" s="282"/>
      <c r="M813" s="282"/>
      <c r="N813" s="282"/>
      <c r="O813" s="282"/>
      <c r="P813" s="282"/>
      <c r="Q813" s="282"/>
      <c r="R813" s="282"/>
      <c r="S813" s="282"/>
      <c r="T813" s="282"/>
      <c r="U813" s="282"/>
      <c r="V813" s="282"/>
      <c r="W813" s="282"/>
      <c r="X813" s="282"/>
    </row>
    <row r="814" customFormat="false" ht="14.25" hidden="false" customHeight="false" outlineLevel="0" collapsed="false">
      <c r="A814" s="282"/>
      <c r="B814" s="282"/>
      <c r="C814" s="282"/>
      <c r="D814" s="282"/>
      <c r="E814" s="282"/>
      <c r="F814" s="282"/>
      <c r="G814" s="282"/>
      <c r="H814" s="282"/>
      <c r="I814" s="282"/>
      <c r="J814" s="282"/>
      <c r="K814" s="282"/>
      <c r="L814" s="282"/>
      <c r="M814" s="282"/>
      <c r="N814" s="282"/>
      <c r="O814" s="282"/>
      <c r="P814" s="282"/>
      <c r="Q814" s="282"/>
      <c r="R814" s="282"/>
      <c r="S814" s="282"/>
      <c r="T814" s="282"/>
      <c r="U814" s="282"/>
      <c r="V814" s="282"/>
      <c r="W814" s="282"/>
      <c r="X814" s="282"/>
    </row>
    <row r="815" customFormat="false" ht="14.25" hidden="false" customHeight="false" outlineLevel="0" collapsed="false">
      <c r="A815" s="282"/>
      <c r="B815" s="282"/>
      <c r="C815" s="282"/>
      <c r="D815" s="282"/>
      <c r="E815" s="282"/>
      <c r="F815" s="282"/>
      <c r="G815" s="282"/>
      <c r="H815" s="282"/>
      <c r="I815" s="282"/>
      <c r="J815" s="282"/>
      <c r="K815" s="282"/>
      <c r="L815" s="282"/>
      <c r="M815" s="282"/>
      <c r="N815" s="282"/>
      <c r="O815" s="282"/>
      <c r="P815" s="282"/>
      <c r="Q815" s="282"/>
      <c r="R815" s="282"/>
      <c r="S815" s="282"/>
      <c r="T815" s="282"/>
      <c r="U815" s="282"/>
      <c r="V815" s="282"/>
      <c r="W815" s="282"/>
      <c r="X815" s="282"/>
    </row>
    <row r="816" customFormat="false" ht="14.25" hidden="false" customHeight="false" outlineLevel="0" collapsed="false">
      <c r="A816" s="282"/>
      <c r="B816" s="282"/>
      <c r="C816" s="282"/>
      <c r="D816" s="282"/>
      <c r="E816" s="282"/>
      <c r="F816" s="282"/>
      <c r="G816" s="282"/>
      <c r="H816" s="282"/>
      <c r="I816" s="282"/>
      <c r="J816" s="282"/>
      <c r="K816" s="282"/>
      <c r="L816" s="282"/>
      <c r="M816" s="282"/>
      <c r="N816" s="282"/>
      <c r="O816" s="282"/>
      <c r="P816" s="282"/>
      <c r="Q816" s="282"/>
      <c r="R816" s="282"/>
      <c r="S816" s="282"/>
      <c r="T816" s="282"/>
      <c r="U816" s="282"/>
      <c r="V816" s="282"/>
      <c r="W816" s="282"/>
      <c r="X816" s="282"/>
    </row>
    <row r="817" customFormat="false" ht="14.25" hidden="false" customHeight="false" outlineLevel="0" collapsed="false">
      <c r="A817" s="282"/>
      <c r="B817" s="282"/>
      <c r="C817" s="282"/>
      <c r="D817" s="282"/>
      <c r="E817" s="282"/>
      <c r="F817" s="282"/>
      <c r="G817" s="282"/>
      <c r="H817" s="282"/>
      <c r="I817" s="282"/>
      <c r="J817" s="282"/>
      <c r="K817" s="282"/>
      <c r="L817" s="282"/>
      <c r="M817" s="282"/>
      <c r="N817" s="282"/>
      <c r="O817" s="282"/>
      <c r="P817" s="282"/>
      <c r="Q817" s="282"/>
      <c r="R817" s="282"/>
      <c r="S817" s="282"/>
      <c r="T817" s="282"/>
      <c r="U817" s="282"/>
      <c r="V817" s="282"/>
      <c r="W817" s="282"/>
      <c r="X817" s="282"/>
    </row>
    <row r="818" customFormat="false" ht="14.25" hidden="false" customHeight="false" outlineLevel="0" collapsed="false">
      <c r="A818" s="282"/>
      <c r="B818" s="282"/>
      <c r="C818" s="282"/>
      <c r="D818" s="282"/>
      <c r="E818" s="282"/>
      <c r="F818" s="282"/>
      <c r="G818" s="282"/>
      <c r="H818" s="282"/>
      <c r="I818" s="282"/>
      <c r="J818" s="282"/>
      <c r="K818" s="282"/>
      <c r="L818" s="282"/>
      <c r="M818" s="282"/>
      <c r="N818" s="282"/>
      <c r="O818" s="282"/>
      <c r="P818" s="282"/>
      <c r="Q818" s="282"/>
      <c r="R818" s="282"/>
      <c r="S818" s="282"/>
      <c r="T818" s="282"/>
      <c r="U818" s="282"/>
      <c r="V818" s="282"/>
      <c r="W818" s="282"/>
      <c r="X818" s="282"/>
    </row>
    <row r="819" customFormat="false" ht="14.25" hidden="false" customHeight="false" outlineLevel="0" collapsed="false">
      <c r="A819" s="282"/>
      <c r="B819" s="282"/>
      <c r="C819" s="282"/>
      <c r="D819" s="282"/>
      <c r="E819" s="282"/>
      <c r="F819" s="282"/>
      <c r="G819" s="282"/>
      <c r="H819" s="282"/>
      <c r="I819" s="282"/>
      <c r="J819" s="282"/>
      <c r="K819" s="282"/>
      <c r="L819" s="282"/>
      <c r="M819" s="282"/>
      <c r="N819" s="282"/>
      <c r="O819" s="282"/>
      <c r="P819" s="282"/>
      <c r="Q819" s="282"/>
      <c r="R819" s="282"/>
      <c r="S819" s="282"/>
      <c r="T819" s="282"/>
      <c r="U819" s="282"/>
      <c r="V819" s="282"/>
      <c r="W819" s="282"/>
      <c r="X819" s="282"/>
    </row>
    <row r="820" customFormat="false" ht="14.25" hidden="false" customHeight="false" outlineLevel="0" collapsed="false">
      <c r="A820" s="282"/>
      <c r="B820" s="282"/>
      <c r="C820" s="282"/>
      <c r="D820" s="282"/>
      <c r="E820" s="282"/>
      <c r="F820" s="282"/>
      <c r="G820" s="282"/>
      <c r="H820" s="282"/>
      <c r="I820" s="282"/>
      <c r="J820" s="282"/>
      <c r="K820" s="282"/>
      <c r="L820" s="282"/>
      <c r="M820" s="282"/>
      <c r="N820" s="282"/>
      <c r="O820" s="282"/>
      <c r="P820" s="282"/>
      <c r="Q820" s="282"/>
      <c r="R820" s="282"/>
      <c r="S820" s="282"/>
      <c r="T820" s="282"/>
      <c r="U820" s="282"/>
      <c r="V820" s="282"/>
      <c r="W820" s="282"/>
      <c r="X820" s="282"/>
    </row>
    <row r="821" customFormat="false" ht="14.25" hidden="false" customHeight="false" outlineLevel="0" collapsed="false">
      <c r="A821" s="282"/>
      <c r="B821" s="282"/>
      <c r="C821" s="282"/>
      <c r="D821" s="282"/>
      <c r="E821" s="282"/>
      <c r="F821" s="282"/>
      <c r="G821" s="282"/>
      <c r="H821" s="282"/>
      <c r="I821" s="282"/>
      <c r="J821" s="282"/>
      <c r="K821" s="282"/>
      <c r="L821" s="282"/>
      <c r="M821" s="282"/>
      <c r="N821" s="282"/>
      <c r="O821" s="282"/>
      <c r="P821" s="282"/>
      <c r="Q821" s="282"/>
      <c r="R821" s="282"/>
      <c r="S821" s="282"/>
      <c r="T821" s="282"/>
      <c r="U821" s="282"/>
      <c r="V821" s="282"/>
      <c r="W821" s="282"/>
      <c r="X821" s="282"/>
    </row>
    <row r="822" customFormat="false" ht="14.25" hidden="false" customHeight="false" outlineLevel="0" collapsed="false">
      <c r="A822" s="282"/>
      <c r="B822" s="282"/>
      <c r="C822" s="282"/>
      <c r="D822" s="282"/>
      <c r="E822" s="282"/>
      <c r="F822" s="282"/>
      <c r="G822" s="282"/>
      <c r="H822" s="282"/>
      <c r="I822" s="282"/>
      <c r="J822" s="282"/>
      <c r="K822" s="282"/>
      <c r="L822" s="282"/>
      <c r="M822" s="282"/>
      <c r="N822" s="282"/>
      <c r="O822" s="282"/>
      <c r="P822" s="282"/>
      <c r="Q822" s="282"/>
      <c r="R822" s="282"/>
      <c r="S822" s="282"/>
      <c r="T822" s="282"/>
      <c r="U822" s="282"/>
      <c r="V822" s="282"/>
      <c r="W822" s="282"/>
      <c r="X822" s="282"/>
    </row>
    <row r="823" customFormat="false" ht="14.25" hidden="false" customHeight="false" outlineLevel="0" collapsed="false">
      <c r="A823" s="282"/>
      <c r="B823" s="282"/>
      <c r="C823" s="282"/>
      <c r="D823" s="282"/>
      <c r="E823" s="282"/>
      <c r="F823" s="282"/>
      <c r="G823" s="282"/>
      <c r="H823" s="282"/>
      <c r="I823" s="282"/>
      <c r="J823" s="282"/>
      <c r="K823" s="282"/>
      <c r="L823" s="282"/>
      <c r="M823" s="282"/>
      <c r="N823" s="282"/>
      <c r="O823" s="282"/>
      <c r="P823" s="282"/>
      <c r="Q823" s="282"/>
      <c r="R823" s="282"/>
      <c r="S823" s="282"/>
      <c r="T823" s="282"/>
      <c r="U823" s="282"/>
      <c r="V823" s="282"/>
      <c r="W823" s="282"/>
      <c r="X823" s="282"/>
    </row>
    <row r="824" customFormat="false" ht="14.25" hidden="false" customHeight="false" outlineLevel="0" collapsed="false">
      <c r="A824" s="282"/>
      <c r="B824" s="282"/>
      <c r="C824" s="282"/>
      <c r="D824" s="282"/>
      <c r="E824" s="282"/>
      <c r="F824" s="282"/>
      <c r="G824" s="282"/>
      <c r="H824" s="282"/>
      <c r="I824" s="282"/>
      <c r="J824" s="282"/>
      <c r="K824" s="282"/>
      <c r="L824" s="282"/>
      <c r="M824" s="282"/>
      <c r="N824" s="282"/>
      <c r="O824" s="282"/>
      <c r="P824" s="282"/>
      <c r="Q824" s="282"/>
      <c r="R824" s="282"/>
      <c r="S824" s="282"/>
      <c r="T824" s="282"/>
      <c r="U824" s="282"/>
      <c r="V824" s="282"/>
      <c r="W824" s="282"/>
      <c r="X824" s="282"/>
    </row>
    <row r="825" customFormat="false" ht="14.25" hidden="false" customHeight="false" outlineLevel="0" collapsed="false">
      <c r="A825" s="282"/>
      <c r="B825" s="282"/>
      <c r="C825" s="282"/>
      <c r="D825" s="282"/>
      <c r="E825" s="282"/>
      <c r="F825" s="282"/>
      <c r="G825" s="282"/>
      <c r="H825" s="282"/>
      <c r="I825" s="282"/>
      <c r="J825" s="282"/>
      <c r="K825" s="282"/>
      <c r="L825" s="282"/>
      <c r="M825" s="282"/>
      <c r="N825" s="282"/>
      <c r="O825" s="282"/>
      <c r="P825" s="282"/>
      <c r="Q825" s="282"/>
      <c r="R825" s="282"/>
      <c r="S825" s="282"/>
      <c r="T825" s="282"/>
      <c r="U825" s="282"/>
      <c r="V825" s="282"/>
      <c r="W825" s="282"/>
      <c r="X825" s="282"/>
    </row>
    <row r="826" customFormat="false" ht="14.25" hidden="false" customHeight="false" outlineLevel="0" collapsed="false">
      <c r="A826" s="282"/>
      <c r="B826" s="282"/>
      <c r="C826" s="282"/>
      <c r="D826" s="282"/>
      <c r="E826" s="282"/>
      <c r="F826" s="282"/>
      <c r="G826" s="282"/>
      <c r="H826" s="282"/>
      <c r="I826" s="282"/>
      <c r="J826" s="282"/>
      <c r="K826" s="282"/>
      <c r="L826" s="282"/>
      <c r="M826" s="282"/>
      <c r="N826" s="282"/>
      <c r="O826" s="282"/>
      <c r="P826" s="282"/>
      <c r="Q826" s="282"/>
      <c r="R826" s="282"/>
      <c r="S826" s="282"/>
      <c r="T826" s="282"/>
      <c r="U826" s="282"/>
      <c r="V826" s="282"/>
      <c r="W826" s="282"/>
      <c r="X826" s="282"/>
    </row>
    <row r="827" customFormat="false" ht="14.25" hidden="false" customHeight="false" outlineLevel="0" collapsed="false">
      <c r="A827" s="282"/>
      <c r="B827" s="282"/>
      <c r="C827" s="282"/>
      <c r="D827" s="282"/>
      <c r="E827" s="282"/>
      <c r="F827" s="282"/>
      <c r="G827" s="282"/>
      <c r="H827" s="282"/>
      <c r="I827" s="282"/>
      <c r="J827" s="282"/>
      <c r="K827" s="282"/>
      <c r="L827" s="282"/>
      <c r="M827" s="282"/>
      <c r="N827" s="282"/>
      <c r="O827" s="282"/>
      <c r="P827" s="282"/>
      <c r="Q827" s="282"/>
      <c r="R827" s="282"/>
      <c r="S827" s="282"/>
      <c r="T827" s="282"/>
      <c r="U827" s="282"/>
      <c r="V827" s="282"/>
      <c r="W827" s="282"/>
      <c r="X827" s="282"/>
    </row>
    <row r="828" customFormat="false" ht="14.25" hidden="false" customHeight="false" outlineLevel="0" collapsed="false">
      <c r="A828" s="282"/>
      <c r="B828" s="282"/>
      <c r="C828" s="282"/>
      <c r="D828" s="282"/>
      <c r="E828" s="282"/>
      <c r="F828" s="282"/>
      <c r="G828" s="282"/>
      <c r="H828" s="282"/>
      <c r="I828" s="282"/>
      <c r="J828" s="282"/>
      <c r="K828" s="282"/>
      <c r="L828" s="282"/>
      <c r="M828" s="282"/>
      <c r="N828" s="282"/>
      <c r="O828" s="282"/>
      <c r="P828" s="282"/>
      <c r="Q828" s="282"/>
      <c r="R828" s="282"/>
      <c r="S828" s="282"/>
      <c r="T828" s="282"/>
      <c r="U828" s="282"/>
      <c r="V828" s="282"/>
      <c r="W828" s="282"/>
      <c r="X828" s="282"/>
    </row>
    <row r="829" customFormat="false" ht="14.25" hidden="false" customHeight="false" outlineLevel="0" collapsed="false">
      <c r="A829" s="282"/>
      <c r="B829" s="282"/>
      <c r="C829" s="282"/>
      <c r="D829" s="282"/>
      <c r="E829" s="282"/>
      <c r="F829" s="282"/>
      <c r="G829" s="282"/>
      <c r="H829" s="282"/>
      <c r="I829" s="282"/>
      <c r="J829" s="282"/>
      <c r="K829" s="282"/>
      <c r="L829" s="282"/>
      <c r="M829" s="282"/>
      <c r="N829" s="282"/>
      <c r="O829" s="282"/>
      <c r="P829" s="282"/>
      <c r="Q829" s="282"/>
      <c r="R829" s="282"/>
      <c r="S829" s="282"/>
      <c r="T829" s="282"/>
      <c r="U829" s="282"/>
      <c r="V829" s="282"/>
      <c r="W829" s="282"/>
      <c r="X829" s="282"/>
    </row>
    <row r="830" customFormat="false" ht="14.25" hidden="false" customHeight="false" outlineLevel="0" collapsed="false">
      <c r="A830" s="282"/>
      <c r="B830" s="282"/>
      <c r="C830" s="282"/>
      <c r="D830" s="282"/>
      <c r="E830" s="282"/>
      <c r="F830" s="282"/>
      <c r="G830" s="282"/>
      <c r="H830" s="282"/>
      <c r="I830" s="282"/>
      <c r="J830" s="282"/>
      <c r="K830" s="282"/>
      <c r="L830" s="282"/>
      <c r="M830" s="282"/>
      <c r="N830" s="282"/>
      <c r="O830" s="282"/>
      <c r="P830" s="282"/>
      <c r="Q830" s="282"/>
      <c r="R830" s="282"/>
      <c r="S830" s="282"/>
      <c r="T830" s="282"/>
      <c r="U830" s="282"/>
      <c r="V830" s="282"/>
      <c r="W830" s="282"/>
      <c r="X830" s="282"/>
    </row>
    <row r="831" customFormat="false" ht="14.25" hidden="false" customHeight="false" outlineLevel="0" collapsed="false">
      <c r="A831" s="282"/>
      <c r="B831" s="282"/>
      <c r="C831" s="282"/>
      <c r="D831" s="282"/>
      <c r="E831" s="282"/>
      <c r="F831" s="282"/>
      <c r="G831" s="282"/>
      <c r="H831" s="282"/>
      <c r="I831" s="282"/>
      <c r="J831" s="282"/>
      <c r="K831" s="282"/>
      <c r="L831" s="282"/>
      <c r="M831" s="282"/>
      <c r="N831" s="282"/>
      <c r="O831" s="282"/>
      <c r="P831" s="282"/>
      <c r="Q831" s="282"/>
      <c r="R831" s="282"/>
      <c r="S831" s="282"/>
      <c r="T831" s="282"/>
      <c r="U831" s="282"/>
      <c r="V831" s="282"/>
      <c r="W831" s="282"/>
      <c r="X831" s="282"/>
    </row>
    <row r="832" customFormat="false" ht="14.25" hidden="false" customHeight="false" outlineLevel="0" collapsed="false">
      <c r="A832" s="282"/>
      <c r="B832" s="282"/>
      <c r="C832" s="282"/>
      <c r="D832" s="282"/>
      <c r="E832" s="282"/>
      <c r="F832" s="282"/>
      <c r="G832" s="282"/>
      <c r="H832" s="282"/>
      <c r="I832" s="282"/>
      <c r="J832" s="282"/>
      <c r="K832" s="282"/>
      <c r="L832" s="282"/>
      <c r="M832" s="282"/>
      <c r="N832" s="282"/>
      <c r="O832" s="282"/>
      <c r="P832" s="282"/>
      <c r="Q832" s="282"/>
      <c r="R832" s="282"/>
      <c r="S832" s="282"/>
      <c r="T832" s="282"/>
      <c r="U832" s="282"/>
      <c r="V832" s="282"/>
      <c r="W832" s="282"/>
      <c r="X832" s="282"/>
    </row>
    <row r="833" customFormat="false" ht="14.25" hidden="false" customHeight="false" outlineLevel="0" collapsed="false">
      <c r="A833" s="282"/>
      <c r="B833" s="282"/>
      <c r="C833" s="282"/>
      <c r="D833" s="282"/>
      <c r="E833" s="282"/>
      <c r="F833" s="282"/>
      <c r="G833" s="282"/>
      <c r="H833" s="282"/>
      <c r="I833" s="282"/>
      <c r="J833" s="282"/>
      <c r="K833" s="282"/>
      <c r="L833" s="282"/>
      <c r="M833" s="282"/>
      <c r="N833" s="282"/>
      <c r="O833" s="282"/>
      <c r="P833" s="282"/>
      <c r="Q833" s="282"/>
      <c r="R833" s="282"/>
      <c r="S833" s="282"/>
      <c r="T833" s="282"/>
      <c r="U833" s="282"/>
      <c r="V833" s="282"/>
      <c r="W833" s="282"/>
      <c r="X833" s="282"/>
    </row>
    <row r="834" customFormat="false" ht="14.25" hidden="false" customHeight="false" outlineLevel="0" collapsed="false">
      <c r="A834" s="282"/>
      <c r="B834" s="282"/>
      <c r="C834" s="282"/>
      <c r="D834" s="282"/>
      <c r="E834" s="282"/>
      <c r="F834" s="282"/>
      <c r="G834" s="282"/>
      <c r="H834" s="282"/>
      <c r="I834" s="282"/>
      <c r="J834" s="282"/>
      <c r="K834" s="282"/>
      <c r="L834" s="282"/>
      <c r="M834" s="282"/>
      <c r="N834" s="282"/>
      <c r="O834" s="282"/>
      <c r="P834" s="282"/>
      <c r="Q834" s="282"/>
      <c r="R834" s="282"/>
      <c r="S834" s="282"/>
      <c r="T834" s="282"/>
      <c r="U834" s="282"/>
      <c r="V834" s="282"/>
      <c r="W834" s="282"/>
      <c r="X834" s="282"/>
    </row>
    <row r="835" customFormat="false" ht="14.25" hidden="false" customHeight="false" outlineLevel="0" collapsed="false">
      <c r="A835" s="282"/>
      <c r="B835" s="282"/>
      <c r="C835" s="282"/>
      <c r="D835" s="282"/>
      <c r="E835" s="282"/>
      <c r="F835" s="282"/>
      <c r="G835" s="282"/>
      <c r="H835" s="282"/>
      <c r="I835" s="282"/>
      <c r="J835" s="282"/>
      <c r="K835" s="282"/>
      <c r="L835" s="282"/>
      <c r="M835" s="282"/>
      <c r="N835" s="282"/>
      <c r="O835" s="282"/>
      <c r="P835" s="282"/>
      <c r="Q835" s="282"/>
      <c r="R835" s="282"/>
      <c r="S835" s="282"/>
      <c r="T835" s="282"/>
      <c r="U835" s="282"/>
      <c r="V835" s="282"/>
      <c r="W835" s="282"/>
      <c r="X835" s="282"/>
    </row>
    <row r="836" customFormat="false" ht="14.25" hidden="false" customHeight="false" outlineLevel="0" collapsed="false">
      <c r="A836" s="282"/>
      <c r="B836" s="282"/>
      <c r="C836" s="282"/>
      <c r="D836" s="282"/>
      <c r="E836" s="282"/>
      <c r="F836" s="282"/>
      <c r="G836" s="282"/>
      <c r="H836" s="282"/>
      <c r="I836" s="282"/>
      <c r="J836" s="282"/>
      <c r="K836" s="282"/>
      <c r="L836" s="282"/>
      <c r="M836" s="282"/>
      <c r="N836" s="282"/>
      <c r="O836" s="282"/>
      <c r="P836" s="282"/>
      <c r="Q836" s="282"/>
      <c r="R836" s="282"/>
      <c r="S836" s="282"/>
      <c r="T836" s="282"/>
      <c r="U836" s="282"/>
      <c r="V836" s="282"/>
      <c r="W836" s="282"/>
      <c r="X836" s="282"/>
    </row>
    <row r="837" customFormat="false" ht="14.25" hidden="false" customHeight="false" outlineLevel="0" collapsed="false">
      <c r="A837" s="282"/>
      <c r="B837" s="282"/>
      <c r="C837" s="282"/>
      <c r="D837" s="282"/>
      <c r="E837" s="282"/>
      <c r="F837" s="282"/>
      <c r="G837" s="282"/>
      <c r="H837" s="282"/>
      <c r="I837" s="282"/>
      <c r="J837" s="282"/>
      <c r="K837" s="282"/>
      <c r="L837" s="282"/>
      <c r="M837" s="282"/>
      <c r="N837" s="282"/>
      <c r="O837" s="282"/>
      <c r="P837" s="282"/>
      <c r="Q837" s="282"/>
      <c r="R837" s="282"/>
      <c r="S837" s="282"/>
      <c r="T837" s="282"/>
      <c r="U837" s="282"/>
      <c r="V837" s="282"/>
      <c r="W837" s="282"/>
      <c r="X837" s="282"/>
    </row>
    <row r="838" customFormat="false" ht="14.25" hidden="false" customHeight="false" outlineLevel="0" collapsed="false">
      <c r="A838" s="282"/>
      <c r="B838" s="282"/>
      <c r="C838" s="282"/>
      <c r="D838" s="282"/>
      <c r="E838" s="282"/>
      <c r="F838" s="282"/>
      <c r="G838" s="282"/>
      <c r="H838" s="282"/>
      <c r="I838" s="282"/>
      <c r="J838" s="282"/>
      <c r="K838" s="282"/>
      <c r="L838" s="282"/>
      <c r="M838" s="282"/>
      <c r="N838" s="282"/>
      <c r="O838" s="282"/>
      <c r="P838" s="282"/>
      <c r="Q838" s="282"/>
      <c r="R838" s="282"/>
      <c r="S838" s="282"/>
      <c r="T838" s="282"/>
      <c r="U838" s="282"/>
      <c r="V838" s="282"/>
      <c r="W838" s="282"/>
      <c r="X838" s="282"/>
    </row>
    <row r="839" customFormat="false" ht="14.25" hidden="false" customHeight="false" outlineLevel="0" collapsed="false">
      <c r="A839" s="282"/>
      <c r="B839" s="282"/>
      <c r="C839" s="282"/>
      <c r="D839" s="282"/>
      <c r="E839" s="282"/>
      <c r="F839" s="282"/>
      <c r="G839" s="282"/>
      <c r="H839" s="282"/>
      <c r="I839" s="282"/>
      <c r="J839" s="282"/>
      <c r="K839" s="282"/>
      <c r="L839" s="282"/>
      <c r="M839" s="282"/>
      <c r="N839" s="282"/>
      <c r="O839" s="282"/>
      <c r="P839" s="282"/>
      <c r="Q839" s="282"/>
      <c r="R839" s="282"/>
      <c r="S839" s="282"/>
      <c r="T839" s="282"/>
      <c r="U839" s="282"/>
      <c r="V839" s="282"/>
      <c r="W839" s="282"/>
      <c r="X839" s="282"/>
    </row>
    <row r="840" customFormat="false" ht="14.25" hidden="false" customHeight="false" outlineLevel="0" collapsed="false">
      <c r="A840" s="282"/>
      <c r="B840" s="282"/>
      <c r="C840" s="282"/>
      <c r="D840" s="282"/>
      <c r="E840" s="282"/>
      <c r="F840" s="282"/>
      <c r="G840" s="282"/>
      <c r="H840" s="282"/>
      <c r="I840" s="282"/>
      <c r="J840" s="282"/>
      <c r="K840" s="282"/>
      <c r="L840" s="282"/>
      <c r="M840" s="282"/>
      <c r="N840" s="282"/>
      <c r="O840" s="282"/>
      <c r="P840" s="282"/>
      <c r="Q840" s="282"/>
      <c r="R840" s="282"/>
      <c r="S840" s="282"/>
      <c r="T840" s="282"/>
      <c r="U840" s="282"/>
      <c r="V840" s="282"/>
      <c r="W840" s="282"/>
      <c r="X840" s="282"/>
    </row>
    <row r="841" customFormat="false" ht="14.25" hidden="false" customHeight="false" outlineLevel="0" collapsed="false">
      <c r="A841" s="282"/>
      <c r="B841" s="282"/>
      <c r="C841" s="282"/>
      <c r="D841" s="282"/>
      <c r="E841" s="282"/>
      <c r="F841" s="282"/>
      <c r="G841" s="282"/>
      <c r="H841" s="282"/>
      <c r="I841" s="282"/>
      <c r="J841" s="282"/>
      <c r="K841" s="282"/>
      <c r="L841" s="282"/>
      <c r="M841" s="282"/>
      <c r="N841" s="282"/>
      <c r="O841" s="282"/>
      <c r="P841" s="282"/>
      <c r="Q841" s="282"/>
      <c r="R841" s="282"/>
      <c r="S841" s="282"/>
      <c r="T841" s="282"/>
      <c r="U841" s="282"/>
      <c r="V841" s="282"/>
      <c r="W841" s="282"/>
      <c r="X841" s="282"/>
    </row>
    <row r="842" customFormat="false" ht="14.25" hidden="false" customHeight="false" outlineLevel="0" collapsed="false">
      <c r="A842" s="282"/>
      <c r="B842" s="282"/>
      <c r="C842" s="282"/>
      <c r="D842" s="282"/>
      <c r="E842" s="282"/>
      <c r="F842" s="282"/>
      <c r="G842" s="282"/>
      <c r="H842" s="282"/>
      <c r="I842" s="282"/>
      <c r="J842" s="282"/>
      <c r="K842" s="282"/>
      <c r="L842" s="282"/>
      <c r="M842" s="282"/>
      <c r="N842" s="282"/>
      <c r="O842" s="282"/>
      <c r="P842" s="282"/>
      <c r="Q842" s="282"/>
      <c r="R842" s="282"/>
      <c r="S842" s="282"/>
      <c r="T842" s="282"/>
      <c r="U842" s="282"/>
      <c r="V842" s="282"/>
      <c r="W842" s="282"/>
      <c r="X842" s="282"/>
    </row>
    <row r="843" customFormat="false" ht="14.25" hidden="false" customHeight="false" outlineLevel="0" collapsed="false">
      <c r="A843" s="282"/>
      <c r="B843" s="282"/>
      <c r="C843" s="282"/>
      <c r="D843" s="282"/>
      <c r="E843" s="282"/>
      <c r="F843" s="282"/>
      <c r="G843" s="282"/>
      <c r="H843" s="282"/>
      <c r="I843" s="282"/>
      <c r="J843" s="282"/>
      <c r="K843" s="282"/>
      <c r="L843" s="282"/>
      <c r="M843" s="282"/>
      <c r="N843" s="282"/>
      <c r="O843" s="282"/>
      <c r="P843" s="282"/>
      <c r="Q843" s="282"/>
      <c r="R843" s="282"/>
      <c r="S843" s="282"/>
      <c r="T843" s="282"/>
      <c r="U843" s="282"/>
      <c r="V843" s="282"/>
      <c r="W843" s="282"/>
      <c r="X843" s="282"/>
    </row>
    <row r="844" customFormat="false" ht="14.25" hidden="false" customHeight="false" outlineLevel="0" collapsed="false">
      <c r="A844" s="282"/>
      <c r="B844" s="282"/>
      <c r="C844" s="282"/>
      <c r="D844" s="282"/>
      <c r="E844" s="282"/>
      <c r="F844" s="282"/>
      <c r="G844" s="282"/>
      <c r="H844" s="282"/>
      <c r="I844" s="282"/>
      <c r="J844" s="282"/>
      <c r="K844" s="282"/>
      <c r="L844" s="282"/>
      <c r="M844" s="282"/>
      <c r="N844" s="282"/>
      <c r="O844" s="282"/>
      <c r="P844" s="282"/>
      <c r="Q844" s="282"/>
      <c r="R844" s="282"/>
      <c r="S844" s="282"/>
      <c r="T844" s="282"/>
      <c r="U844" s="282"/>
      <c r="V844" s="282"/>
      <c r="W844" s="282"/>
      <c r="X844" s="282"/>
    </row>
    <row r="845" customFormat="false" ht="14.25" hidden="false" customHeight="false" outlineLevel="0" collapsed="false">
      <c r="A845" s="282"/>
      <c r="B845" s="282"/>
      <c r="C845" s="282"/>
      <c r="D845" s="282"/>
      <c r="E845" s="282"/>
      <c r="F845" s="282"/>
      <c r="G845" s="282"/>
      <c r="H845" s="282"/>
      <c r="I845" s="282"/>
      <c r="J845" s="282"/>
      <c r="K845" s="282"/>
      <c r="L845" s="282"/>
      <c r="M845" s="282"/>
      <c r="N845" s="282"/>
      <c r="O845" s="282"/>
      <c r="P845" s="282"/>
      <c r="Q845" s="282"/>
      <c r="R845" s="282"/>
      <c r="S845" s="282"/>
      <c r="T845" s="282"/>
      <c r="U845" s="282"/>
      <c r="V845" s="282"/>
      <c r="W845" s="282"/>
      <c r="X845" s="282"/>
    </row>
    <row r="846" customFormat="false" ht="14.25" hidden="false" customHeight="false" outlineLevel="0" collapsed="false">
      <c r="A846" s="282"/>
      <c r="B846" s="282"/>
      <c r="C846" s="282"/>
      <c r="D846" s="282"/>
      <c r="E846" s="282"/>
      <c r="F846" s="282"/>
      <c r="G846" s="282"/>
      <c r="H846" s="282"/>
      <c r="I846" s="282"/>
      <c r="J846" s="282"/>
      <c r="K846" s="282"/>
      <c r="L846" s="282"/>
      <c r="M846" s="282"/>
      <c r="N846" s="282"/>
      <c r="O846" s="282"/>
      <c r="P846" s="282"/>
      <c r="Q846" s="282"/>
      <c r="R846" s="282"/>
      <c r="S846" s="282"/>
      <c r="T846" s="282"/>
      <c r="U846" s="282"/>
      <c r="V846" s="282"/>
      <c r="W846" s="282"/>
      <c r="X846" s="282"/>
    </row>
    <row r="847" customFormat="false" ht="14.25" hidden="false" customHeight="false" outlineLevel="0" collapsed="false">
      <c r="A847" s="282"/>
      <c r="B847" s="282"/>
      <c r="C847" s="282"/>
      <c r="D847" s="282"/>
      <c r="E847" s="282"/>
      <c r="F847" s="282"/>
      <c r="G847" s="282"/>
      <c r="H847" s="282"/>
      <c r="I847" s="282"/>
      <c r="J847" s="282"/>
      <c r="K847" s="282"/>
      <c r="L847" s="282"/>
      <c r="M847" s="282"/>
      <c r="N847" s="282"/>
      <c r="O847" s="282"/>
      <c r="P847" s="282"/>
      <c r="Q847" s="282"/>
      <c r="R847" s="282"/>
      <c r="S847" s="282"/>
      <c r="T847" s="282"/>
      <c r="U847" s="282"/>
      <c r="V847" s="282"/>
      <c r="W847" s="282"/>
      <c r="X847" s="282"/>
    </row>
    <row r="848" customFormat="false" ht="14.25" hidden="false" customHeight="false" outlineLevel="0" collapsed="false">
      <c r="A848" s="282"/>
      <c r="B848" s="282"/>
      <c r="C848" s="282"/>
      <c r="D848" s="282"/>
      <c r="E848" s="282"/>
      <c r="F848" s="282"/>
      <c r="G848" s="282"/>
      <c r="H848" s="282"/>
      <c r="I848" s="282"/>
      <c r="J848" s="282"/>
      <c r="K848" s="282"/>
      <c r="L848" s="282"/>
      <c r="M848" s="282"/>
      <c r="N848" s="282"/>
      <c r="O848" s="282"/>
      <c r="P848" s="282"/>
      <c r="Q848" s="282"/>
      <c r="R848" s="282"/>
      <c r="S848" s="282"/>
      <c r="T848" s="282"/>
      <c r="U848" s="282"/>
      <c r="V848" s="282"/>
      <c r="W848" s="282"/>
      <c r="X848" s="282"/>
    </row>
    <row r="849" customFormat="false" ht="14.25" hidden="false" customHeight="false" outlineLevel="0" collapsed="false">
      <c r="A849" s="282"/>
      <c r="B849" s="282"/>
      <c r="C849" s="282"/>
      <c r="D849" s="282"/>
      <c r="E849" s="282"/>
      <c r="F849" s="282"/>
      <c r="G849" s="282"/>
      <c r="H849" s="282"/>
      <c r="I849" s="282"/>
      <c r="J849" s="282"/>
      <c r="K849" s="282"/>
      <c r="L849" s="282"/>
      <c r="M849" s="282"/>
      <c r="N849" s="282"/>
      <c r="O849" s="282"/>
      <c r="P849" s="282"/>
      <c r="Q849" s="282"/>
      <c r="R849" s="282"/>
      <c r="S849" s="282"/>
      <c r="T849" s="282"/>
      <c r="U849" s="282"/>
      <c r="V849" s="282"/>
      <c r="W849" s="282"/>
      <c r="X849" s="282"/>
    </row>
    <row r="850" customFormat="false" ht="14.25" hidden="false" customHeight="false" outlineLevel="0" collapsed="false">
      <c r="A850" s="282"/>
      <c r="B850" s="282"/>
      <c r="C850" s="282"/>
      <c r="D850" s="282"/>
      <c r="E850" s="282"/>
      <c r="F850" s="282"/>
      <c r="G850" s="282"/>
      <c r="H850" s="282"/>
      <c r="I850" s="282"/>
      <c r="J850" s="282"/>
      <c r="K850" s="282"/>
      <c r="L850" s="282"/>
      <c r="M850" s="282"/>
      <c r="N850" s="282"/>
      <c r="O850" s="282"/>
      <c r="P850" s="282"/>
      <c r="Q850" s="282"/>
      <c r="R850" s="282"/>
      <c r="S850" s="282"/>
      <c r="T850" s="282"/>
      <c r="U850" s="282"/>
      <c r="V850" s="282"/>
      <c r="W850" s="282"/>
      <c r="X850" s="282"/>
    </row>
    <row r="851" customFormat="false" ht="14.25" hidden="false" customHeight="false" outlineLevel="0" collapsed="false">
      <c r="A851" s="282"/>
      <c r="B851" s="282"/>
      <c r="C851" s="282"/>
      <c r="D851" s="282"/>
      <c r="E851" s="282"/>
      <c r="F851" s="282"/>
      <c r="G851" s="282"/>
      <c r="H851" s="282"/>
      <c r="I851" s="282"/>
      <c r="J851" s="282"/>
      <c r="K851" s="282"/>
      <c r="L851" s="282"/>
      <c r="M851" s="282"/>
      <c r="N851" s="282"/>
      <c r="O851" s="282"/>
      <c r="P851" s="282"/>
      <c r="Q851" s="282"/>
      <c r="R851" s="282"/>
      <c r="S851" s="282"/>
      <c r="T851" s="282"/>
      <c r="U851" s="282"/>
      <c r="V851" s="282"/>
      <c r="W851" s="282"/>
      <c r="X851" s="282"/>
    </row>
    <row r="852" customFormat="false" ht="14.25" hidden="false" customHeight="false" outlineLevel="0" collapsed="false">
      <c r="A852" s="282"/>
      <c r="B852" s="282"/>
      <c r="C852" s="282"/>
      <c r="D852" s="282"/>
      <c r="E852" s="282"/>
      <c r="F852" s="282"/>
      <c r="G852" s="282"/>
      <c r="H852" s="282"/>
      <c r="I852" s="282"/>
      <c r="J852" s="282"/>
      <c r="K852" s="282"/>
      <c r="L852" s="282"/>
      <c r="M852" s="282"/>
      <c r="N852" s="282"/>
      <c r="O852" s="282"/>
      <c r="P852" s="282"/>
      <c r="Q852" s="282"/>
      <c r="R852" s="282"/>
      <c r="S852" s="282"/>
      <c r="T852" s="282"/>
      <c r="U852" s="282"/>
      <c r="V852" s="282"/>
      <c r="W852" s="282"/>
      <c r="X852" s="282"/>
    </row>
    <row r="853" customFormat="false" ht="14.25" hidden="false" customHeight="false" outlineLevel="0" collapsed="false">
      <c r="A853" s="282"/>
      <c r="B853" s="282"/>
      <c r="C853" s="282"/>
      <c r="D853" s="282"/>
      <c r="E853" s="282"/>
      <c r="F853" s="282"/>
      <c r="G853" s="282"/>
      <c r="H853" s="282"/>
      <c r="I853" s="282"/>
      <c r="J853" s="282"/>
      <c r="K853" s="282"/>
      <c r="L853" s="282"/>
      <c r="M853" s="282"/>
      <c r="N853" s="282"/>
      <c r="O853" s="282"/>
      <c r="P853" s="282"/>
      <c r="Q853" s="282"/>
      <c r="R853" s="282"/>
      <c r="S853" s="282"/>
      <c r="T853" s="282"/>
      <c r="U853" s="282"/>
      <c r="V853" s="282"/>
      <c r="W853" s="282"/>
      <c r="X853" s="282"/>
    </row>
    <row r="854" customFormat="false" ht="14.25" hidden="false" customHeight="false" outlineLevel="0" collapsed="false">
      <c r="A854" s="282"/>
      <c r="B854" s="282"/>
      <c r="C854" s="282"/>
      <c r="D854" s="282"/>
      <c r="E854" s="282"/>
      <c r="F854" s="282"/>
      <c r="G854" s="282"/>
      <c r="H854" s="282"/>
      <c r="I854" s="282"/>
      <c r="J854" s="282"/>
      <c r="K854" s="282"/>
      <c r="L854" s="282"/>
      <c r="M854" s="282"/>
      <c r="N854" s="282"/>
      <c r="O854" s="282"/>
      <c r="P854" s="282"/>
      <c r="Q854" s="282"/>
      <c r="R854" s="282"/>
      <c r="S854" s="282"/>
      <c r="T854" s="282"/>
      <c r="U854" s="282"/>
      <c r="V854" s="282"/>
      <c r="W854" s="282"/>
      <c r="X854" s="282"/>
    </row>
    <row r="855" customFormat="false" ht="14.25" hidden="false" customHeight="false" outlineLevel="0" collapsed="false">
      <c r="A855" s="282"/>
      <c r="B855" s="282"/>
      <c r="C855" s="282"/>
      <c r="D855" s="282"/>
      <c r="E855" s="282"/>
      <c r="F855" s="282"/>
      <c r="G855" s="282"/>
      <c r="H855" s="282"/>
      <c r="I855" s="282"/>
      <c r="J855" s="282"/>
      <c r="K855" s="282"/>
      <c r="L855" s="282"/>
      <c r="M855" s="282"/>
      <c r="N855" s="282"/>
      <c r="O855" s="282"/>
      <c r="P855" s="282"/>
      <c r="Q855" s="282"/>
      <c r="R855" s="282"/>
      <c r="S855" s="282"/>
      <c r="T855" s="282"/>
      <c r="U855" s="282"/>
      <c r="V855" s="282"/>
      <c r="W855" s="282"/>
      <c r="X855" s="282"/>
    </row>
    <row r="856" customFormat="false" ht="14.25" hidden="false" customHeight="false" outlineLevel="0" collapsed="false">
      <c r="A856" s="282"/>
      <c r="B856" s="282"/>
      <c r="C856" s="282"/>
      <c r="D856" s="282"/>
      <c r="E856" s="282"/>
      <c r="F856" s="282"/>
      <c r="G856" s="282"/>
      <c r="H856" s="282"/>
      <c r="I856" s="282"/>
      <c r="J856" s="282"/>
      <c r="K856" s="282"/>
      <c r="L856" s="282"/>
      <c r="M856" s="282"/>
      <c r="N856" s="282"/>
      <c r="O856" s="282"/>
      <c r="P856" s="282"/>
      <c r="Q856" s="282"/>
      <c r="R856" s="282"/>
      <c r="S856" s="282"/>
      <c r="T856" s="282"/>
      <c r="U856" s="282"/>
      <c r="V856" s="282"/>
      <c r="W856" s="282"/>
      <c r="X856" s="282"/>
    </row>
    <row r="857" customFormat="false" ht="14.25" hidden="false" customHeight="false" outlineLevel="0" collapsed="false">
      <c r="A857" s="282"/>
      <c r="B857" s="282"/>
      <c r="C857" s="282"/>
      <c r="D857" s="282"/>
      <c r="E857" s="282"/>
      <c r="F857" s="282"/>
      <c r="G857" s="282"/>
      <c r="H857" s="282"/>
      <c r="I857" s="282"/>
      <c r="J857" s="282"/>
      <c r="K857" s="282"/>
      <c r="L857" s="282"/>
      <c r="M857" s="282"/>
      <c r="N857" s="282"/>
      <c r="O857" s="282"/>
      <c r="P857" s="282"/>
      <c r="Q857" s="282"/>
      <c r="R857" s="282"/>
      <c r="S857" s="282"/>
      <c r="T857" s="282"/>
      <c r="U857" s="282"/>
      <c r="V857" s="282"/>
      <c r="W857" s="282"/>
      <c r="X857" s="282"/>
    </row>
    <row r="858" customFormat="false" ht="14.25" hidden="false" customHeight="false" outlineLevel="0" collapsed="false">
      <c r="A858" s="282"/>
      <c r="B858" s="282"/>
      <c r="C858" s="282"/>
      <c r="D858" s="282"/>
      <c r="E858" s="282"/>
      <c r="F858" s="282"/>
      <c r="G858" s="282"/>
      <c r="H858" s="282"/>
      <c r="I858" s="282"/>
      <c r="J858" s="282"/>
      <c r="K858" s="282"/>
      <c r="L858" s="282"/>
      <c r="M858" s="282"/>
      <c r="N858" s="282"/>
      <c r="O858" s="282"/>
      <c r="P858" s="282"/>
      <c r="Q858" s="282"/>
      <c r="R858" s="282"/>
      <c r="S858" s="282"/>
      <c r="T858" s="282"/>
      <c r="U858" s="282"/>
      <c r="V858" s="282"/>
      <c r="W858" s="282"/>
      <c r="X858" s="282"/>
    </row>
    <row r="859" customFormat="false" ht="14.25" hidden="false" customHeight="false" outlineLevel="0" collapsed="false">
      <c r="A859" s="282"/>
      <c r="B859" s="282"/>
      <c r="C859" s="282"/>
      <c r="D859" s="282"/>
      <c r="E859" s="282"/>
      <c r="F859" s="282"/>
      <c r="G859" s="282"/>
      <c r="H859" s="282"/>
      <c r="I859" s="282"/>
      <c r="J859" s="282"/>
      <c r="K859" s="282"/>
      <c r="L859" s="282"/>
      <c r="M859" s="282"/>
      <c r="N859" s="282"/>
      <c r="O859" s="282"/>
      <c r="P859" s="282"/>
      <c r="Q859" s="282"/>
      <c r="R859" s="282"/>
      <c r="S859" s="282"/>
      <c r="T859" s="282"/>
      <c r="U859" s="282"/>
      <c r="V859" s="282"/>
      <c r="W859" s="282"/>
      <c r="X859" s="282"/>
    </row>
    <row r="860" customFormat="false" ht="14.25" hidden="false" customHeight="false" outlineLevel="0" collapsed="false">
      <c r="A860" s="282"/>
      <c r="B860" s="282"/>
      <c r="C860" s="282"/>
      <c r="D860" s="282"/>
      <c r="E860" s="282"/>
      <c r="F860" s="282"/>
      <c r="G860" s="282"/>
      <c r="H860" s="282"/>
      <c r="I860" s="282"/>
      <c r="J860" s="282"/>
      <c r="K860" s="282"/>
      <c r="L860" s="282"/>
      <c r="M860" s="282"/>
      <c r="N860" s="282"/>
      <c r="O860" s="282"/>
      <c r="P860" s="282"/>
      <c r="Q860" s="282"/>
      <c r="R860" s="282"/>
      <c r="S860" s="282"/>
      <c r="T860" s="282"/>
      <c r="U860" s="282"/>
      <c r="V860" s="282"/>
      <c r="W860" s="282"/>
      <c r="X860" s="282"/>
    </row>
    <row r="861" customFormat="false" ht="14.25" hidden="false" customHeight="false" outlineLevel="0" collapsed="false">
      <c r="A861" s="282"/>
      <c r="B861" s="282"/>
      <c r="C861" s="282"/>
      <c r="D861" s="282"/>
      <c r="E861" s="282"/>
      <c r="F861" s="282"/>
      <c r="G861" s="282"/>
      <c r="H861" s="282"/>
      <c r="I861" s="282"/>
      <c r="J861" s="282"/>
      <c r="K861" s="282"/>
      <c r="L861" s="282"/>
      <c r="M861" s="282"/>
      <c r="N861" s="282"/>
      <c r="O861" s="282"/>
      <c r="P861" s="282"/>
      <c r="Q861" s="282"/>
      <c r="R861" s="282"/>
      <c r="S861" s="282"/>
      <c r="T861" s="282"/>
      <c r="U861" s="282"/>
      <c r="V861" s="282"/>
      <c r="W861" s="282"/>
      <c r="X861" s="282"/>
    </row>
    <row r="862" customFormat="false" ht="14.25" hidden="false" customHeight="false" outlineLevel="0" collapsed="false">
      <c r="A862" s="282"/>
      <c r="B862" s="282"/>
      <c r="C862" s="282"/>
      <c r="D862" s="282"/>
      <c r="E862" s="282"/>
      <c r="F862" s="282"/>
      <c r="G862" s="282"/>
      <c r="H862" s="282"/>
      <c r="I862" s="282"/>
      <c r="J862" s="282"/>
      <c r="K862" s="282"/>
      <c r="L862" s="282"/>
      <c r="M862" s="282"/>
      <c r="N862" s="282"/>
      <c r="O862" s="282"/>
      <c r="P862" s="282"/>
      <c r="Q862" s="282"/>
      <c r="R862" s="282"/>
      <c r="S862" s="282"/>
      <c r="T862" s="282"/>
      <c r="U862" s="282"/>
      <c r="V862" s="282"/>
      <c r="W862" s="282"/>
      <c r="X862" s="282"/>
    </row>
    <row r="863" customFormat="false" ht="14.25" hidden="false" customHeight="false" outlineLevel="0" collapsed="false">
      <c r="A863" s="282"/>
      <c r="B863" s="282"/>
      <c r="C863" s="282"/>
      <c r="D863" s="282"/>
      <c r="E863" s="282"/>
      <c r="F863" s="282"/>
      <c r="G863" s="282"/>
      <c r="H863" s="282"/>
      <c r="I863" s="282"/>
      <c r="J863" s="282"/>
      <c r="K863" s="282"/>
      <c r="L863" s="282"/>
      <c r="M863" s="282"/>
      <c r="N863" s="282"/>
      <c r="O863" s="282"/>
      <c r="P863" s="282"/>
      <c r="Q863" s="282"/>
      <c r="R863" s="282"/>
      <c r="S863" s="282"/>
      <c r="T863" s="282"/>
      <c r="U863" s="282"/>
      <c r="V863" s="282"/>
      <c r="W863" s="282"/>
      <c r="X863" s="282"/>
    </row>
    <row r="864" customFormat="false" ht="14.25" hidden="false" customHeight="false" outlineLevel="0" collapsed="false">
      <c r="A864" s="282"/>
      <c r="B864" s="282"/>
      <c r="C864" s="282"/>
      <c r="D864" s="282"/>
      <c r="E864" s="282"/>
      <c r="F864" s="282"/>
      <c r="G864" s="282"/>
      <c r="H864" s="282"/>
      <c r="I864" s="282"/>
      <c r="J864" s="282"/>
      <c r="K864" s="282"/>
      <c r="L864" s="282"/>
      <c r="M864" s="282"/>
      <c r="N864" s="282"/>
      <c r="O864" s="282"/>
      <c r="P864" s="282"/>
      <c r="Q864" s="282"/>
      <c r="R864" s="282"/>
      <c r="S864" s="282"/>
      <c r="T864" s="282"/>
      <c r="U864" s="282"/>
      <c r="V864" s="282"/>
      <c r="W864" s="282"/>
      <c r="X864" s="282"/>
    </row>
    <row r="865" customFormat="false" ht="14.25" hidden="false" customHeight="false" outlineLevel="0" collapsed="false">
      <c r="A865" s="282"/>
      <c r="B865" s="282"/>
      <c r="C865" s="282"/>
      <c r="D865" s="282"/>
      <c r="E865" s="282"/>
      <c r="F865" s="282"/>
      <c r="G865" s="282"/>
      <c r="H865" s="282"/>
      <c r="I865" s="282"/>
      <c r="J865" s="282"/>
      <c r="K865" s="282"/>
      <c r="L865" s="282"/>
      <c r="M865" s="282"/>
      <c r="N865" s="282"/>
      <c r="O865" s="282"/>
      <c r="P865" s="282"/>
      <c r="Q865" s="282"/>
      <c r="R865" s="282"/>
      <c r="S865" s="282"/>
      <c r="T865" s="282"/>
      <c r="U865" s="282"/>
      <c r="V865" s="282"/>
      <c r="W865" s="282"/>
      <c r="X865" s="282"/>
    </row>
    <row r="866" customFormat="false" ht="14.25" hidden="false" customHeight="false" outlineLevel="0" collapsed="false">
      <c r="A866" s="282"/>
      <c r="B866" s="282"/>
      <c r="C866" s="282"/>
      <c r="D866" s="282"/>
      <c r="E866" s="282"/>
      <c r="F866" s="282"/>
      <c r="G866" s="282"/>
      <c r="H866" s="282"/>
      <c r="I866" s="282"/>
      <c r="J866" s="282"/>
      <c r="K866" s="282"/>
      <c r="L866" s="282"/>
      <c r="M866" s="282"/>
      <c r="N866" s="282"/>
      <c r="O866" s="282"/>
      <c r="P866" s="282"/>
      <c r="Q866" s="282"/>
      <c r="R866" s="282"/>
      <c r="S866" s="282"/>
      <c r="T866" s="282"/>
      <c r="U866" s="282"/>
      <c r="V866" s="282"/>
      <c r="W866" s="282"/>
      <c r="X866" s="282"/>
    </row>
    <row r="867" customFormat="false" ht="14.25" hidden="false" customHeight="false" outlineLevel="0" collapsed="false">
      <c r="A867" s="282"/>
      <c r="B867" s="282"/>
      <c r="C867" s="282"/>
      <c r="D867" s="282"/>
      <c r="E867" s="282"/>
      <c r="F867" s="282"/>
      <c r="G867" s="282"/>
      <c r="H867" s="282"/>
      <c r="I867" s="282"/>
      <c r="J867" s="282"/>
      <c r="K867" s="282"/>
      <c r="L867" s="282"/>
      <c r="M867" s="282"/>
      <c r="N867" s="282"/>
      <c r="O867" s="282"/>
      <c r="P867" s="282"/>
      <c r="Q867" s="282"/>
      <c r="R867" s="282"/>
      <c r="S867" s="282"/>
      <c r="T867" s="282"/>
      <c r="U867" s="282"/>
      <c r="V867" s="282"/>
      <c r="W867" s="282"/>
      <c r="X867" s="282"/>
    </row>
    <row r="868" customFormat="false" ht="14.25" hidden="false" customHeight="false" outlineLevel="0" collapsed="false">
      <c r="A868" s="282"/>
      <c r="B868" s="282"/>
      <c r="C868" s="282"/>
      <c r="D868" s="282"/>
      <c r="E868" s="282"/>
      <c r="F868" s="282"/>
      <c r="G868" s="282"/>
      <c r="H868" s="282"/>
      <c r="I868" s="282"/>
      <c r="J868" s="282"/>
      <c r="K868" s="282"/>
      <c r="L868" s="282"/>
      <c r="M868" s="282"/>
      <c r="N868" s="282"/>
      <c r="O868" s="282"/>
      <c r="P868" s="282"/>
      <c r="Q868" s="282"/>
      <c r="R868" s="282"/>
      <c r="S868" s="282"/>
      <c r="T868" s="282"/>
      <c r="U868" s="282"/>
      <c r="V868" s="282"/>
      <c r="W868" s="282"/>
      <c r="X868" s="282"/>
    </row>
    <row r="869" customFormat="false" ht="14.25" hidden="false" customHeight="false" outlineLevel="0" collapsed="false">
      <c r="A869" s="282"/>
      <c r="B869" s="282"/>
      <c r="C869" s="282"/>
      <c r="D869" s="282"/>
      <c r="E869" s="282"/>
      <c r="F869" s="282"/>
      <c r="G869" s="282"/>
      <c r="H869" s="282"/>
      <c r="I869" s="282"/>
      <c r="J869" s="282"/>
      <c r="K869" s="282"/>
      <c r="L869" s="282"/>
      <c r="M869" s="282"/>
      <c r="N869" s="282"/>
      <c r="O869" s="282"/>
      <c r="P869" s="282"/>
      <c r="Q869" s="282"/>
      <c r="R869" s="282"/>
      <c r="S869" s="282"/>
      <c r="T869" s="282"/>
      <c r="U869" s="282"/>
      <c r="V869" s="282"/>
      <c r="W869" s="282"/>
      <c r="X869" s="282"/>
    </row>
    <row r="870" customFormat="false" ht="14.25" hidden="false" customHeight="false" outlineLevel="0" collapsed="false">
      <c r="A870" s="282"/>
      <c r="B870" s="282"/>
      <c r="C870" s="282"/>
      <c r="D870" s="282"/>
      <c r="E870" s="282"/>
      <c r="F870" s="282"/>
      <c r="G870" s="282"/>
      <c r="H870" s="282"/>
      <c r="I870" s="282"/>
      <c r="J870" s="282"/>
      <c r="K870" s="282"/>
      <c r="L870" s="282"/>
      <c r="M870" s="282"/>
      <c r="N870" s="282"/>
      <c r="O870" s="282"/>
      <c r="P870" s="282"/>
      <c r="Q870" s="282"/>
      <c r="R870" s="282"/>
      <c r="S870" s="282"/>
      <c r="T870" s="282"/>
      <c r="U870" s="282"/>
      <c r="V870" s="282"/>
      <c r="W870" s="282"/>
      <c r="X870" s="282"/>
    </row>
    <row r="871" customFormat="false" ht="14.25" hidden="false" customHeight="false" outlineLevel="0" collapsed="false">
      <c r="A871" s="282"/>
      <c r="B871" s="282"/>
      <c r="C871" s="282"/>
      <c r="D871" s="282"/>
      <c r="E871" s="282"/>
      <c r="F871" s="282"/>
      <c r="G871" s="282"/>
      <c r="H871" s="282"/>
      <c r="I871" s="282"/>
      <c r="J871" s="282"/>
      <c r="K871" s="282"/>
      <c r="L871" s="282"/>
      <c r="M871" s="282"/>
      <c r="N871" s="282"/>
      <c r="O871" s="282"/>
      <c r="P871" s="282"/>
      <c r="Q871" s="282"/>
      <c r="R871" s="282"/>
      <c r="S871" s="282"/>
      <c r="T871" s="282"/>
      <c r="U871" s="282"/>
      <c r="V871" s="282"/>
      <c r="W871" s="282"/>
      <c r="X871" s="282"/>
    </row>
    <row r="872" customFormat="false" ht="14.25" hidden="false" customHeight="false" outlineLevel="0" collapsed="false">
      <c r="A872" s="282"/>
      <c r="B872" s="282"/>
      <c r="C872" s="282"/>
      <c r="D872" s="282"/>
      <c r="E872" s="282"/>
      <c r="F872" s="282"/>
      <c r="G872" s="282"/>
      <c r="H872" s="282"/>
      <c r="I872" s="282"/>
      <c r="J872" s="282"/>
      <c r="K872" s="282"/>
      <c r="L872" s="282"/>
      <c r="M872" s="282"/>
      <c r="N872" s="282"/>
      <c r="O872" s="282"/>
      <c r="P872" s="282"/>
      <c r="Q872" s="282"/>
      <c r="R872" s="282"/>
      <c r="S872" s="282"/>
      <c r="T872" s="282"/>
      <c r="U872" s="282"/>
      <c r="V872" s="282"/>
      <c r="W872" s="282"/>
      <c r="X872" s="282"/>
    </row>
    <row r="873" customFormat="false" ht="14.25" hidden="false" customHeight="false" outlineLevel="0" collapsed="false">
      <c r="A873" s="282"/>
      <c r="B873" s="282"/>
      <c r="C873" s="282"/>
      <c r="D873" s="282"/>
      <c r="E873" s="282"/>
      <c r="F873" s="282"/>
      <c r="G873" s="282"/>
      <c r="H873" s="282"/>
      <c r="I873" s="282"/>
      <c r="J873" s="282"/>
      <c r="K873" s="282"/>
      <c r="L873" s="282"/>
      <c r="M873" s="282"/>
      <c r="N873" s="282"/>
      <c r="O873" s="282"/>
      <c r="P873" s="282"/>
      <c r="Q873" s="282"/>
      <c r="R873" s="282"/>
      <c r="S873" s="282"/>
      <c r="T873" s="282"/>
      <c r="U873" s="282"/>
      <c r="V873" s="282"/>
      <c r="W873" s="282"/>
      <c r="X873" s="282"/>
    </row>
    <row r="874" customFormat="false" ht="14.25" hidden="false" customHeight="false" outlineLevel="0" collapsed="false">
      <c r="A874" s="282"/>
      <c r="B874" s="282"/>
      <c r="C874" s="282"/>
      <c r="D874" s="282"/>
      <c r="E874" s="282"/>
      <c r="F874" s="282"/>
      <c r="G874" s="282"/>
      <c r="H874" s="282"/>
      <c r="I874" s="282"/>
      <c r="J874" s="282"/>
      <c r="K874" s="282"/>
      <c r="L874" s="282"/>
      <c r="M874" s="282"/>
      <c r="N874" s="282"/>
      <c r="O874" s="282"/>
      <c r="P874" s="282"/>
      <c r="Q874" s="282"/>
      <c r="R874" s="282"/>
      <c r="S874" s="282"/>
      <c r="T874" s="282"/>
      <c r="U874" s="282"/>
      <c r="V874" s="282"/>
      <c r="W874" s="282"/>
      <c r="X874" s="282"/>
    </row>
    <row r="875" customFormat="false" ht="14.25" hidden="false" customHeight="false" outlineLevel="0" collapsed="false">
      <c r="A875" s="282"/>
      <c r="B875" s="282"/>
      <c r="C875" s="282"/>
      <c r="D875" s="282"/>
      <c r="E875" s="282"/>
      <c r="F875" s="282"/>
      <c r="G875" s="282"/>
      <c r="H875" s="282"/>
      <c r="I875" s="282"/>
      <c r="J875" s="282"/>
      <c r="K875" s="282"/>
      <c r="L875" s="282"/>
      <c r="M875" s="282"/>
      <c r="N875" s="282"/>
      <c r="O875" s="282"/>
      <c r="P875" s="282"/>
      <c r="Q875" s="282"/>
      <c r="R875" s="282"/>
      <c r="S875" s="282"/>
      <c r="T875" s="282"/>
      <c r="U875" s="282"/>
      <c r="V875" s="282"/>
      <c r="W875" s="282"/>
      <c r="X875" s="282"/>
    </row>
    <row r="876" customFormat="false" ht="14.25" hidden="false" customHeight="false" outlineLevel="0" collapsed="false">
      <c r="A876" s="282"/>
      <c r="B876" s="282"/>
      <c r="C876" s="282"/>
      <c r="D876" s="282"/>
      <c r="E876" s="282"/>
      <c r="F876" s="282"/>
      <c r="G876" s="282"/>
      <c r="H876" s="282"/>
      <c r="I876" s="282"/>
      <c r="J876" s="282"/>
      <c r="K876" s="282"/>
      <c r="L876" s="282"/>
      <c r="M876" s="282"/>
      <c r="N876" s="282"/>
      <c r="O876" s="282"/>
      <c r="P876" s="282"/>
      <c r="Q876" s="282"/>
      <c r="R876" s="282"/>
      <c r="S876" s="282"/>
      <c r="T876" s="282"/>
      <c r="U876" s="282"/>
      <c r="V876" s="282"/>
      <c r="W876" s="282"/>
      <c r="X876" s="282"/>
    </row>
    <row r="877" customFormat="false" ht="14.25" hidden="false" customHeight="false" outlineLevel="0" collapsed="false">
      <c r="A877" s="282"/>
      <c r="B877" s="282"/>
      <c r="C877" s="282"/>
      <c r="D877" s="282"/>
      <c r="E877" s="282"/>
      <c r="F877" s="282"/>
      <c r="G877" s="282"/>
      <c r="H877" s="282"/>
      <c r="I877" s="282"/>
      <c r="J877" s="282"/>
      <c r="K877" s="282"/>
      <c r="L877" s="282"/>
      <c r="M877" s="282"/>
      <c r="N877" s="282"/>
      <c r="O877" s="282"/>
      <c r="P877" s="282"/>
      <c r="Q877" s="282"/>
      <c r="R877" s="282"/>
      <c r="S877" s="282"/>
      <c r="T877" s="282"/>
      <c r="U877" s="282"/>
      <c r="V877" s="282"/>
      <c r="W877" s="282"/>
      <c r="X877" s="282"/>
    </row>
    <row r="878" customFormat="false" ht="14.25" hidden="false" customHeight="false" outlineLevel="0" collapsed="false">
      <c r="A878" s="282"/>
      <c r="B878" s="282"/>
      <c r="C878" s="282"/>
      <c r="D878" s="282"/>
      <c r="E878" s="282"/>
      <c r="F878" s="282"/>
      <c r="G878" s="282"/>
      <c r="H878" s="282"/>
      <c r="I878" s="282"/>
      <c r="J878" s="282"/>
      <c r="K878" s="282"/>
      <c r="L878" s="282"/>
      <c r="M878" s="282"/>
      <c r="N878" s="282"/>
      <c r="O878" s="282"/>
      <c r="P878" s="282"/>
      <c r="Q878" s="282"/>
      <c r="R878" s="282"/>
      <c r="S878" s="282"/>
      <c r="T878" s="282"/>
      <c r="U878" s="282"/>
      <c r="V878" s="282"/>
      <c r="W878" s="282"/>
      <c r="X878" s="282"/>
    </row>
    <row r="879" customFormat="false" ht="14.25" hidden="false" customHeight="false" outlineLevel="0" collapsed="false">
      <c r="A879" s="282"/>
      <c r="B879" s="282"/>
      <c r="C879" s="282"/>
      <c r="D879" s="282"/>
      <c r="E879" s="282"/>
      <c r="F879" s="282"/>
      <c r="G879" s="282"/>
      <c r="H879" s="282"/>
      <c r="I879" s="282"/>
      <c r="J879" s="282"/>
      <c r="K879" s="282"/>
      <c r="L879" s="282"/>
      <c r="M879" s="282"/>
      <c r="N879" s="282"/>
      <c r="O879" s="282"/>
      <c r="P879" s="282"/>
      <c r="Q879" s="282"/>
      <c r="R879" s="282"/>
      <c r="S879" s="282"/>
      <c r="T879" s="282"/>
      <c r="U879" s="282"/>
      <c r="V879" s="282"/>
      <c r="W879" s="282"/>
      <c r="X879" s="282"/>
    </row>
    <row r="880" customFormat="false" ht="14.25" hidden="false" customHeight="false" outlineLevel="0" collapsed="false">
      <c r="A880" s="282"/>
      <c r="B880" s="282"/>
      <c r="C880" s="282"/>
      <c r="D880" s="282"/>
      <c r="E880" s="282"/>
      <c r="F880" s="282"/>
      <c r="G880" s="282"/>
      <c r="H880" s="282"/>
      <c r="I880" s="282"/>
      <c r="J880" s="282"/>
      <c r="K880" s="282"/>
      <c r="L880" s="282"/>
      <c r="M880" s="282"/>
      <c r="N880" s="282"/>
      <c r="O880" s="282"/>
      <c r="P880" s="282"/>
      <c r="Q880" s="282"/>
      <c r="R880" s="282"/>
      <c r="S880" s="282"/>
      <c r="T880" s="282"/>
      <c r="U880" s="282"/>
      <c r="V880" s="282"/>
      <c r="W880" s="282"/>
      <c r="X880" s="282"/>
    </row>
    <row r="881" customFormat="false" ht="14.25" hidden="false" customHeight="false" outlineLevel="0" collapsed="false">
      <c r="A881" s="282"/>
      <c r="B881" s="282"/>
      <c r="C881" s="282"/>
      <c r="D881" s="282"/>
      <c r="E881" s="282"/>
      <c r="F881" s="282"/>
      <c r="G881" s="282"/>
      <c r="H881" s="282"/>
      <c r="I881" s="282"/>
      <c r="J881" s="282"/>
      <c r="K881" s="282"/>
      <c r="L881" s="282"/>
      <c r="M881" s="282"/>
      <c r="N881" s="282"/>
      <c r="O881" s="282"/>
      <c r="P881" s="282"/>
      <c r="Q881" s="282"/>
      <c r="R881" s="282"/>
      <c r="S881" s="282"/>
      <c r="T881" s="282"/>
      <c r="U881" s="282"/>
      <c r="V881" s="282"/>
      <c r="W881" s="282"/>
      <c r="X881" s="282"/>
    </row>
    <row r="882" customFormat="false" ht="14.25" hidden="false" customHeight="false" outlineLevel="0" collapsed="false">
      <c r="A882" s="282"/>
      <c r="B882" s="282"/>
      <c r="C882" s="282"/>
      <c r="D882" s="282"/>
      <c r="E882" s="282"/>
      <c r="F882" s="282"/>
      <c r="G882" s="282"/>
      <c r="H882" s="282"/>
      <c r="I882" s="282"/>
      <c r="J882" s="282"/>
      <c r="K882" s="282"/>
      <c r="L882" s="282"/>
      <c r="M882" s="282"/>
      <c r="N882" s="282"/>
      <c r="O882" s="282"/>
      <c r="P882" s="282"/>
      <c r="Q882" s="282"/>
      <c r="R882" s="282"/>
      <c r="S882" s="282"/>
      <c r="T882" s="282"/>
      <c r="U882" s="282"/>
      <c r="V882" s="282"/>
      <c r="W882" s="282"/>
      <c r="X882" s="282"/>
    </row>
    <row r="883" customFormat="false" ht="14.25" hidden="false" customHeight="false" outlineLevel="0" collapsed="false">
      <c r="A883" s="282"/>
      <c r="B883" s="282"/>
      <c r="C883" s="282"/>
      <c r="D883" s="282"/>
      <c r="E883" s="282"/>
      <c r="F883" s="282"/>
      <c r="G883" s="282"/>
      <c r="H883" s="282"/>
      <c r="I883" s="282"/>
      <c r="J883" s="282"/>
      <c r="K883" s="282"/>
      <c r="L883" s="282"/>
      <c r="M883" s="282"/>
      <c r="N883" s="282"/>
      <c r="O883" s="282"/>
      <c r="P883" s="282"/>
      <c r="Q883" s="282"/>
      <c r="R883" s="282"/>
      <c r="S883" s="282"/>
      <c r="T883" s="282"/>
      <c r="U883" s="282"/>
      <c r="V883" s="282"/>
      <c r="W883" s="282"/>
      <c r="X883" s="282"/>
    </row>
    <row r="884" customFormat="false" ht="14.25" hidden="false" customHeight="false" outlineLevel="0" collapsed="false">
      <c r="A884" s="282"/>
      <c r="B884" s="282"/>
      <c r="C884" s="282"/>
      <c r="D884" s="282"/>
      <c r="E884" s="282"/>
      <c r="F884" s="282"/>
      <c r="G884" s="282"/>
      <c r="H884" s="282"/>
      <c r="I884" s="282"/>
      <c r="J884" s="282"/>
      <c r="K884" s="282"/>
      <c r="L884" s="282"/>
      <c r="M884" s="282"/>
      <c r="N884" s="282"/>
      <c r="O884" s="282"/>
      <c r="P884" s="282"/>
      <c r="Q884" s="282"/>
      <c r="R884" s="282"/>
      <c r="S884" s="282"/>
      <c r="T884" s="282"/>
      <c r="U884" s="282"/>
      <c r="V884" s="282"/>
      <c r="W884" s="282"/>
      <c r="X884" s="282"/>
    </row>
    <row r="885" customFormat="false" ht="14.25" hidden="false" customHeight="false" outlineLevel="0" collapsed="false">
      <c r="A885" s="282"/>
      <c r="B885" s="282"/>
      <c r="C885" s="282"/>
      <c r="D885" s="282"/>
      <c r="E885" s="282"/>
      <c r="F885" s="282"/>
      <c r="G885" s="282"/>
      <c r="H885" s="282"/>
      <c r="I885" s="282"/>
      <c r="J885" s="282"/>
      <c r="K885" s="282"/>
      <c r="L885" s="282"/>
      <c r="M885" s="282"/>
      <c r="N885" s="282"/>
      <c r="O885" s="282"/>
      <c r="P885" s="282"/>
      <c r="Q885" s="282"/>
      <c r="R885" s="282"/>
      <c r="S885" s="282"/>
      <c r="T885" s="282"/>
      <c r="U885" s="282"/>
      <c r="V885" s="282"/>
      <c r="W885" s="282"/>
      <c r="X885" s="282"/>
    </row>
    <row r="886" customFormat="false" ht="14.25" hidden="false" customHeight="false" outlineLevel="0" collapsed="false">
      <c r="A886" s="282"/>
      <c r="B886" s="282"/>
      <c r="C886" s="282"/>
      <c r="D886" s="282"/>
      <c r="E886" s="282"/>
      <c r="F886" s="282"/>
      <c r="G886" s="282"/>
      <c r="H886" s="282"/>
      <c r="I886" s="282"/>
      <c r="J886" s="282"/>
      <c r="K886" s="282"/>
      <c r="L886" s="282"/>
      <c r="M886" s="282"/>
      <c r="N886" s="282"/>
      <c r="O886" s="282"/>
      <c r="P886" s="282"/>
      <c r="Q886" s="282"/>
      <c r="R886" s="282"/>
      <c r="S886" s="282"/>
      <c r="T886" s="282"/>
      <c r="U886" s="282"/>
      <c r="V886" s="282"/>
      <c r="W886" s="282"/>
      <c r="X886" s="282"/>
    </row>
    <row r="887" customFormat="false" ht="14.25" hidden="false" customHeight="false" outlineLevel="0" collapsed="false">
      <c r="A887" s="282"/>
      <c r="B887" s="282"/>
      <c r="C887" s="282"/>
      <c r="D887" s="282"/>
      <c r="E887" s="282"/>
      <c r="F887" s="282"/>
      <c r="G887" s="282"/>
      <c r="H887" s="282"/>
      <c r="I887" s="282"/>
      <c r="J887" s="282"/>
      <c r="K887" s="282"/>
      <c r="L887" s="282"/>
      <c r="M887" s="282"/>
      <c r="N887" s="282"/>
      <c r="O887" s="282"/>
      <c r="P887" s="282"/>
      <c r="Q887" s="282"/>
      <c r="R887" s="282"/>
      <c r="S887" s="282"/>
      <c r="T887" s="282"/>
      <c r="U887" s="282"/>
      <c r="V887" s="282"/>
      <c r="W887" s="282"/>
      <c r="X887" s="282"/>
    </row>
    <row r="888" customFormat="false" ht="14.25" hidden="false" customHeight="false" outlineLevel="0" collapsed="false">
      <c r="A888" s="282"/>
      <c r="B888" s="282"/>
      <c r="C888" s="282"/>
      <c r="D888" s="282"/>
      <c r="E888" s="282"/>
      <c r="F888" s="282"/>
      <c r="G888" s="282"/>
      <c r="H888" s="282"/>
      <c r="I888" s="282"/>
      <c r="J888" s="282"/>
      <c r="K888" s="282"/>
      <c r="L888" s="282"/>
      <c r="M888" s="282"/>
      <c r="N888" s="282"/>
      <c r="O888" s="282"/>
      <c r="P888" s="282"/>
      <c r="Q888" s="282"/>
      <c r="R888" s="282"/>
      <c r="S888" s="282"/>
      <c r="T888" s="282"/>
      <c r="U888" s="282"/>
      <c r="V888" s="282"/>
      <c r="W888" s="282"/>
      <c r="X888" s="282"/>
    </row>
    <row r="889" customFormat="false" ht="14.25" hidden="false" customHeight="false" outlineLevel="0" collapsed="false">
      <c r="A889" s="282"/>
      <c r="B889" s="282"/>
      <c r="C889" s="282"/>
      <c r="D889" s="282"/>
      <c r="E889" s="282"/>
      <c r="F889" s="282"/>
      <c r="G889" s="282"/>
      <c r="H889" s="282"/>
      <c r="I889" s="282"/>
      <c r="J889" s="282"/>
      <c r="K889" s="282"/>
      <c r="L889" s="282"/>
      <c r="M889" s="282"/>
      <c r="N889" s="282"/>
      <c r="O889" s="282"/>
      <c r="P889" s="282"/>
      <c r="Q889" s="282"/>
      <c r="R889" s="282"/>
      <c r="S889" s="282"/>
      <c r="T889" s="282"/>
      <c r="U889" s="282"/>
      <c r="V889" s="282"/>
      <c r="W889" s="282"/>
      <c r="X889" s="282"/>
    </row>
    <row r="890" customFormat="false" ht="14.25" hidden="false" customHeight="false" outlineLevel="0" collapsed="false">
      <c r="A890" s="282"/>
      <c r="B890" s="282"/>
      <c r="C890" s="282"/>
      <c r="D890" s="282"/>
      <c r="E890" s="282"/>
      <c r="F890" s="282"/>
      <c r="G890" s="282"/>
      <c r="H890" s="282"/>
      <c r="I890" s="282"/>
      <c r="J890" s="282"/>
      <c r="K890" s="282"/>
      <c r="L890" s="282"/>
      <c r="M890" s="282"/>
      <c r="N890" s="282"/>
      <c r="O890" s="282"/>
      <c r="P890" s="282"/>
      <c r="Q890" s="282"/>
      <c r="R890" s="282"/>
      <c r="S890" s="282"/>
      <c r="T890" s="282"/>
      <c r="U890" s="282"/>
      <c r="V890" s="282"/>
      <c r="W890" s="282"/>
      <c r="X890" s="282"/>
    </row>
    <row r="891" customFormat="false" ht="14.25" hidden="false" customHeight="false" outlineLevel="0" collapsed="false">
      <c r="A891" s="282"/>
      <c r="B891" s="282"/>
      <c r="C891" s="282"/>
      <c r="D891" s="282"/>
      <c r="E891" s="282"/>
      <c r="F891" s="282"/>
      <c r="G891" s="282"/>
      <c r="H891" s="282"/>
      <c r="I891" s="282"/>
      <c r="J891" s="282"/>
      <c r="K891" s="282"/>
      <c r="L891" s="282"/>
      <c r="M891" s="282"/>
      <c r="N891" s="282"/>
      <c r="O891" s="282"/>
      <c r="P891" s="282"/>
      <c r="Q891" s="282"/>
      <c r="R891" s="282"/>
      <c r="S891" s="282"/>
      <c r="T891" s="282"/>
      <c r="U891" s="282"/>
      <c r="V891" s="282"/>
      <c r="W891" s="282"/>
      <c r="X891" s="282"/>
    </row>
    <row r="892" customFormat="false" ht="14.25" hidden="false" customHeight="false" outlineLevel="0" collapsed="false">
      <c r="A892" s="282"/>
      <c r="B892" s="282"/>
      <c r="C892" s="282"/>
      <c r="D892" s="282"/>
      <c r="E892" s="282"/>
      <c r="F892" s="282"/>
      <c r="G892" s="282"/>
      <c r="H892" s="282"/>
      <c r="I892" s="282"/>
      <c r="J892" s="282"/>
      <c r="K892" s="282"/>
      <c r="L892" s="282"/>
      <c r="M892" s="282"/>
      <c r="N892" s="282"/>
      <c r="O892" s="282"/>
      <c r="P892" s="282"/>
      <c r="Q892" s="282"/>
      <c r="R892" s="282"/>
      <c r="S892" s="282"/>
      <c r="T892" s="282"/>
      <c r="U892" s="282"/>
      <c r="V892" s="282"/>
      <c r="W892" s="282"/>
      <c r="X892" s="282"/>
    </row>
    <row r="893" customFormat="false" ht="14.25" hidden="false" customHeight="false" outlineLevel="0" collapsed="false">
      <c r="A893" s="282"/>
      <c r="B893" s="282"/>
      <c r="C893" s="282"/>
      <c r="D893" s="282"/>
      <c r="E893" s="282"/>
      <c r="F893" s="282"/>
      <c r="G893" s="282"/>
      <c r="H893" s="282"/>
      <c r="I893" s="282"/>
      <c r="J893" s="282"/>
      <c r="K893" s="282"/>
      <c r="L893" s="282"/>
      <c r="M893" s="282"/>
      <c r="N893" s="282"/>
      <c r="O893" s="282"/>
      <c r="P893" s="282"/>
      <c r="Q893" s="282"/>
      <c r="R893" s="282"/>
      <c r="S893" s="282"/>
      <c r="T893" s="282"/>
      <c r="U893" s="282"/>
      <c r="V893" s="282"/>
      <c r="W893" s="282"/>
      <c r="X893" s="282"/>
    </row>
    <row r="894" customFormat="false" ht="14.25" hidden="false" customHeight="false" outlineLevel="0" collapsed="false">
      <c r="A894" s="282"/>
      <c r="B894" s="282"/>
      <c r="C894" s="282"/>
      <c r="D894" s="282"/>
      <c r="E894" s="282"/>
      <c r="F894" s="282"/>
      <c r="G894" s="282"/>
      <c r="H894" s="282"/>
      <c r="I894" s="282"/>
      <c r="J894" s="282"/>
      <c r="K894" s="282"/>
      <c r="L894" s="282"/>
      <c r="M894" s="282"/>
      <c r="N894" s="282"/>
      <c r="O894" s="282"/>
      <c r="P894" s="282"/>
      <c r="Q894" s="282"/>
      <c r="R894" s="282"/>
      <c r="S894" s="282"/>
      <c r="T894" s="282"/>
      <c r="U894" s="282"/>
      <c r="V894" s="282"/>
      <c r="W894" s="282"/>
      <c r="X894" s="282"/>
    </row>
    <row r="895" customFormat="false" ht="14.25" hidden="false" customHeight="false" outlineLevel="0" collapsed="false">
      <c r="A895" s="282"/>
      <c r="B895" s="282"/>
      <c r="C895" s="282"/>
      <c r="D895" s="282"/>
      <c r="E895" s="282"/>
      <c r="F895" s="282"/>
      <c r="G895" s="282"/>
      <c r="H895" s="282"/>
      <c r="I895" s="282"/>
      <c r="J895" s="282"/>
      <c r="K895" s="282"/>
      <c r="L895" s="282"/>
      <c r="M895" s="282"/>
      <c r="N895" s="282"/>
      <c r="O895" s="282"/>
      <c r="P895" s="282"/>
      <c r="Q895" s="282"/>
      <c r="R895" s="282"/>
      <c r="S895" s="282"/>
      <c r="T895" s="282"/>
      <c r="U895" s="282"/>
      <c r="V895" s="282"/>
      <c r="W895" s="282"/>
      <c r="X895" s="282"/>
    </row>
    <row r="896" customFormat="false" ht="14.25" hidden="false" customHeight="false" outlineLevel="0" collapsed="false">
      <c r="A896" s="282"/>
      <c r="B896" s="282"/>
      <c r="C896" s="282"/>
      <c r="D896" s="282"/>
      <c r="E896" s="282"/>
      <c r="F896" s="282"/>
      <c r="G896" s="282"/>
      <c r="H896" s="282"/>
      <c r="I896" s="282"/>
      <c r="J896" s="282"/>
      <c r="K896" s="282"/>
      <c r="L896" s="282"/>
      <c r="M896" s="282"/>
      <c r="N896" s="282"/>
      <c r="O896" s="282"/>
      <c r="P896" s="282"/>
      <c r="Q896" s="282"/>
      <c r="R896" s="282"/>
      <c r="S896" s="282"/>
      <c r="T896" s="282"/>
      <c r="U896" s="282"/>
      <c r="V896" s="282"/>
      <c r="W896" s="282"/>
      <c r="X896" s="282"/>
    </row>
    <row r="897" customFormat="false" ht="14.25" hidden="false" customHeight="false" outlineLevel="0" collapsed="false">
      <c r="A897" s="282"/>
      <c r="B897" s="282"/>
      <c r="C897" s="282"/>
      <c r="D897" s="282"/>
      <c r="E897" s="282"/>
      <c r="F897" s="282"/>
      <c r="G897" s="282"/>
      <c r="H897" s="282"/>
      <c r="I897" s="282"/>
      <c r="J897" s="282"/>
      <c r="K897" s="282"/>
      <c r="L897" s="282"/>
      <c r="M897" s="282"/>
      <c r="N897" s="282"/>
      <c r="O897" s="282"/>
      <c r="P897" s="282"/>
      <c r="Q897" s="282"/>
      <c r="R897" s="282"/>
      <c r="S897" s="282"/>
      <c r="T897" s="282"/>
      <c r="U897" s="282"/>
      <c r="V897" s="282"/>
      <c r="W897" s="282"/>
      <c r="X897" s="282"/>
    </row>
    <row r="898" customFormat="false" ht="14.25" hidden="false" customHeight="false" outlineLevel="0" collapsed="false">
      <c r="A898" s="282"/>
      <c r="B898" s="282"/>
      <c r="C898" s="282"/>
      <c r="D898" s="282"/>
      <c r="E898" s="282"/>
      <c r="F898" s="282"/>
      <c r="G898" s="282"/>
      <c r="H898" s="282"/>
      <c r="I898" s="282"/>
      <c r="J898" s="282"/>
      <c r="K898" s="282"/>
      <c r="L898" s="282"/>
      <c r="M898" s="282"/>
      <c r="N898" s="282"/>
      <c r="O898" s="282"/>
      <c r="P898" s="282"/>
      <c r="Q898" s="282"/>
      <c r="R898" s="282"/>
      <c r="S898" s="282"/>
      <c r="T898" s="282"/>
      <c r="U898" s="282"/>
      <c r="V898" s="282"/>
      <c r="W898" s="282"/>
      <c r="X898" s="282"/>
    </row>
    <row r="899" customFormat="false" ht="14.25" hidden="false" customHeight="false" outlineLevel="0" collapsed="false">
      <c r="A899" s="282"/>
      <c r="B899" s="282"/>
      <c r="C899" s="282"/>
      <c r="D899" s="282"/>
      <c r="E899" s="282"/>
      <c r="F899" s="282"/>
      <c r="G899" s="282"/>
      <c r="H899" s="282"/>
      <c r="I899" s="282"/>
      <c r="J899" s="282"/>
      <c r="K899" s="282"/>
      <c r="L899" s="282"/>
      <c r="M899" s="282"/>
      <c r="N899" s="282"/>
      <c r="O899" s="282"/>
      <c r="P899" s="282"/>
      <c r="Q899" s="282"/>
      <c r="R899" s="282"/>
      <c r="S899" s="282"/>
      <c r="T899" s="282"/>
      <c r="U899" s="282"/>
      <c r="V899" s="282"/>
      <c r="W899" s="282"/>
      <c r="X899" s="282"/>
    </row>
    <row r="900" customFormat="false" ht="14.25" hidden="false" customHeight="false" outlineLevel="0" collapsed="false">
      <c r="A900" s="282"/>
      <c r="B900" s="282"/>
      <c r="C900" s="282"/>
      <c r="D900" s="282"/>
      <c r="E900" s="282"/>
      <c r="F900" s="282"/>
      <c r="G900" s="282"/>
      <c r="H900" s="282"/>
      <c r="I900" s="282"/>
      <c r="J900" s="282"/>
      <c r="K900" s="282"/>
      <c r="L900" s="282"/>
      <c r="M900" s="282"/>
      <c r="N900" s="282"/>
      <c r="O900" s="282"/>
      <c r="P900" s="282"/>
      <c r="Q900" s="282"/>
      <c r="R900" s="282"/>
      <c r="S900" s="282"/>
      <c r="T900" s="282"/>
      <c r="U900" s="282"/>
      <c r="V900" s="282"/>
      <c r="W900" s="282"/>
      <c r="X900" s="282"/>
    </row>
    <row r="901" customFormat="false" ht="14.25" hidden="false" customHeight="false" outlineLevel="0" collapsed="false">
      <c r="A901" s="282"/>
      <c r="B901" s="282"/>
      <c r="C901" s="282"/>
      <c r="D901" s="282"/>
      <c r="E901" s="282"/>
      <c r="F901" s="282"/>
      <c r="G901" s="282"/>
      <c r="H901" s="282"/>
      <c r="I901" s="282"/>
      <c r="J901" s="282"/>
      <c r="K901" s="282"/>
      <c r="L901" s="282"/>
      <c r="M901" s="282"/>
      <c r="N901" s="282"/>
      <c r="O901" s="282"/>
      <c r="P901" s="282"/>
      <c r="Q901" s="282"/>
      <c r="R901" s="282"/>
      <c r="S901" s="282"/>
      <c r="T901" s="282"/>
      <c r="U901" s="282"/>
      <c r="V901" s="282"/>
      <c r="W901" s="282"/>
      <c r="X901" s="282"/>
    </row>
    <row r="902" customFormat="false" ht="14.25" hidden="false" customHeight="false" outlineLevel="0" collapsed="false">
      <c r="A902" s="282"/>
      <c r="B902" s="282"/>
      <c r="C902" s="282"/>
      <c r="D902" s="282"/>
      <c r="E902" s="282"/>
      <c r="F902" s="282"/>
      <c r="G902" s="282"/>
      <c r="H902" s="282"/>
      <c r="I902" s="282"/>
      <c r="J902" s="282"/>
      <c r="K902" s="282"/>
      <c r="L902" s="282"/>
      <c r="M902" s="282"/>
      <c r="N902" s="282"/>
      <c r="O902" s="282"/>
      <c r="P902" s="282"/>
      <c r="Q902" s="282"/>
      <c r="R902" s="282"/>
      <c r="S902" s="282"/>
      <c r="T902" s="282"/>
      <c r="U902" s="282"/>
      <c r="V902" s="282"/>
      <c r="W902" s="282"/>
      <c r="X902" s="282"/>
    </row>
    <row r="903" customFormat="false" ht="14.25" hidden="false" customHeight="false" outlineLevel="0" collapsed="false">
      <c r="A903" s="282"/>
      <c r="B903" s="282"/>
      <c r="C903" s="282"/>
      <c r="D903" s="282"/>
      <c r="E903" s="282"/>
      <c r="F903" s="282"/>
      <c r="G903" s="282"/>
      <c r="H903" s="282"/>
      <c r="I903" s="282"/>
      <c r="J903" s="282"/>
      <c r="K903" s="282"/>
      <c r="L903" s="282"/>
      <c r="M903" s="282"/>
      <c r="N903" s="282"/>
      <c r="O903" s="282"/>
      <c r="P903" s="282"/>
      <c r="Q903" s="282"/>
      <c r="R903" s="282"/>
      <c r="S903" s="282"/>
      <c r="T903" s="282"/>
      <c r="U903" s="282"/>
      <c r="V903" s="282"/>
      <c r="W903" s="282"/>
      <c r="X903" s="282"/>
    </row>
    <row r="904" customFormat="false" ht="14.25" hidden="false" customHeight="false" outlineLevel="0" collapsed="false">
      <c r="A904" s="282"/>
      <c r="B904" s="282"/>
      <c r="C904" s="282"/>
      <c r="D904" s="282"/>
      <c r="E904" s="282"/>
      <c r="F904" s="282"/>
      <c r="G904" s="282"/>
      <c r="H904" s="282"/>
      <c r="I904" s="282"/>
      <c r="J904" s="282"/>
      <c r="K904" s="282"/>
      <c r="L904" s="282"/>
      <c r="M904" s="282"/>
      <c r="N904" s="282"/>
      <c r="O904" s="282"/>
      <c r="P904" s="282"/>
      <c r="Q904" s="282"/>
      <c r="R904" s="282"/>
      <c r="S904" s="282"/>
      <c r="T904" s="282"/>
      <c r="U904" s="282"/>
      <c r="V904" s="282"/>
      <c r="W904" s="282"/>
      <c r="X904" s="282"/>
    </row>
    <row r="905" customFormat="false" ht="14.25" hidden="false" customHeight="false" outlineLevel="0" collapsed="false">
      <c r="A905" s="282"/>
      <c r="B905" s="282"/>
      <c r="C905" s="282"/>
      <c r="D905" s="282"/>
      <c r="E905" s="282"/>
      <c r="F905" s="282"/>
      <c r="G905" s="282"/>
      <c r="H905" s="282"/>
      <c r="I905" s="282"/>
      <c r="J905" s="282"/>
      <c r="K905" s="282"/>
      <c r="L905" s="282"/>
      <c r="M905" s="282"/>
      <c r="N905" s="282"/>
      <c r="O905" s="282"/>
      <c r="P905" s="282"/>
      <c r="Q905" s="282"/>
      <c r="R905" s="282"/>
      <c r="S905" s="282"/>
      <c r="T905" s="282"/>
      <c r="U905" s="282"/>
      <c r="V905" s="282"/>
      <c r="W905" s="282"/>
      <c r="X905" s="282"/>
    </row>
    <row r="906" customFormat="false" ht="14.25" hidden="false" customHeight="false" outlineLevel="0" collapsed="false">
      <c r="A906" s="282"/>
      <c r="B906" s="282"/>
      <c r="C906" s="282"/>
      <c r="D906" s="282"/>
      <c r="E906" s="282"/>
      <c r="F906" s="282"/>
      <c r="G906" s="282"/>
      <c r="H906" s="282"/>
      <c r="I906" s="282"/>
      <c r="J906" s="282"/>
      <c r="K906" s="282"/>
      <c r="L906" s="282"/>
      <c r="M906" s="282"/>
      <c r="N906" s="282"/>
      <c r="O906" s="282"/>
      <c r="P906" s="282"/>
      <c r="Q906" s="282"/>
      <c r="R906" s="282"/>
      <c r="S906" s="282"/>
      <c r="T906" s="282"/>
      <c r="U906" s="282"/>
      <c r="V906" s="282"/>
      <c r="W906" s="282"/>
      <c r="X906" s="282"/>
    </row>
    <row r="907" customFormat="false" ht="14.25" hidden="false" customHeight="false" outlineLevel="0" collapsed="false">
      <c r="A907" s="282"/>
      <c r="B907" s="282"/>
      <c r="C907" s="282"/>
      <c r="D907" s="282"/>
      <c r="E907" s="282"/>
      <c r="F907" s="282"/>
      <c r="G907" s="282"/>
      <c r="H907" s="282"/>
      <c r="I907" s="282"/>
      <c r="J907" s="282"/>
      <c r="K907" s="282"/>
      <c r="L907" s="282"/>
      <c r="M907" s="282"/>
      <c r="N907" s="282"/>
      <c r="O907" s="282"/>
      <c r="P907" s="282"/>
      <c r="Q907" s="282"/>
      <c r="R907" s="282"/>
      <c r="S907" s="282"/>
      <c r="T907" s="282"/>
      <c r="U907" s="282"/>
      <c r="V907" s="282"/>
      <c r="W907" s="282"/>
      <c r="X907" s="282"/>
    </row>
    <row r="908" customFormat="false" ht="14.25" hidden="false" customHeight="false" outlineLevel="0" collapsed="false">
      <c r="A908" s="282"/>
      <c r="B908" s="282"/>
      <c r="C908" s="282"/>
      <c r="D908" s="282"/>
      <c r="E908" s="282"/>
      <c r="F908" s="282"/>
      <c r="G908" s="282"/>
      <c r="H908" s="282"/>
      <c r="I908" s="282"/>
      <c r="J908" s="282"/>
      <c r="K908" s="282"/>
      <c r="L908" s="282"/>
      <c r="M908" s="282"/>
      <c r="N908" s="282"/>
      <c r="O908" s="282"/>
      <c r="P908" s="282"/>
      <c r="Q908" s="282"/>
      <c r="R908" s="282"/>
      <c r="S908" s="282"/>
      <c r="T908" s="282"/>
      <c r="U908" s="282"/>
      <c r="V908" s="282"/>
      <c r="W908" s="282"/>
      <c r="X908" s="282"/>
    </row>
    <row r="909" customFormat="false" ht="14.25" hidden="false" customHeight="false" outlineLevel="0" collapsed="false">
      <c r="A909" s="282"/>
      <c r="B909" s="282"/>
      <c r="C909" s="282"/>
      <c r="D909" s="282"/>
      <c r="E909" s="282"/>
      <c r="F909" s="282"/>
      <c r="G909" s="282"/>
      <c r="H909" s="282"/>
      <c r="I909" s="282"/>
      <c r="J909" s="282"/>
      <c r="K909" s="282"/>
      <c r="L909" s="282"/>
      <c r="M909" s="282"/>
      <c r="N909" s="282"/>
      <c r="O909" s="282"/>
      <c r="P909" s="282"/>
      <c r="Q909" s="282"/>
      <c r="R909" s="282"/>
      <c r="S909" s="282"/>
      <c r="T909" s="282"/>
      <c r="U909" s="282"/>
      <c r="V909" s="282"/>
      <c r="W909" s="282"/>
      <c r="X909" s="282"/>
    </row>
    <row r="910" customFormat="false" ht="14.25" hidden="false" customHeight="false" outlineLevel="0" collapsed="false">
      <c r="A910" s="282"/>
      <c r="B910" s="282"/>
      <c r="C910" s="282"/>
      <c r="D910" s="282"/>
      <c r="E910" s="282"/>
      <c r="F910" s="282"/>
      <c r="G910" s="282"/>
      <c r="H910" s="282"/>
      <c r="I910" s="282"/>
      <c r="J910" s="282"/>
      <c r="K910" s="282"/>
      <c r="L910" s="282"/>
      <c r="M910" s="282"/>
      <c r="N910" s="282"/>
      <c r="O910" s="282"/>
      <c r="P910" s="282"/>
      <c r="Q910" s="282"/>
      <c r="R910" s="282"/>
      <c r="S910" s="282"/>
      <c r="T910" s="282"/>
      <c r="U910" s="282"/>
      <c r="V910" s="282"/>
      <c r="W910" s="282"/>
      <c r="X910" s="282"/>
    </row>
    <row r="911" customFormat="false" ht="14.25" hidden="false" customHeight="false" outlineLevel="0" collapsed="false">
      <c r="A911" s="282"/>
      <c r="B911" s="282"/>
      <c r="C911" s="282"/>
      <c r="D911" s="282"/>
      <c r="E911" s="282"/>
      <c r="F911" s="282"/>
      <c r="G911" s="282"/>
      <c r="H911" s="282"/>
      <c r="I911" s="282"/>
      <c r="J911" s="282"/>
      <c r="K911" s="282"/>
      <c r="L911" s="282"/>
      <c r="M911" s="282"/>
      <c r="N911" s="282"/>
      <c r="O911" s="282"/>
      <c r="P911" s="282"/>
      <c r="Q911" s="282"/>
      <c r="R911" s="282"/>
      <c r="S911" s="282"/>
      <c r="T911" s="282"/>
      <c r="U911" s="282"/>
      <c r="V911" s="282"/>
      <c r="W911" s="282"/>
      <c r="X911" s="282"/>
    </row>
    <row r="912" customFormat="false" ht="14.25" hidden="false" customHeight="false" outlineLevel="0" collapsed="false">
      <c r="A912" s="282"/>
      <c r="B912" s="282"/>
      <c r="C912" s="282"/>
      <c r="D912" s="282"/>
      <c r="E912" s="282"/>
      <c r="F912" s="282"/>
      <c r="G912" s="282"/>
      <c r="H912" s="282"/>
      <c r="I912" s="282"/>
      <c r="J912" s="282"/>
      <c r="K912" s="282"/>
      <c r="L912" s="282"/>
      <c r="M912" s="282"/>
      <c r="N912" s="282"/>
      <c r="O912" s="282"/>
      <c r="P912" s="282"/>
      <c r="Q912" s="282"/>
      <c r="R912" s="282"/>
      <c r="S912" s="282"/>
      <c r="T912" s="282"/>
      <c r="U912" s="282"/>
      <c r="V912" s="282"/>
      <c r="W912" s="282"/>
      <c r="X912" s="282"/>
    </row>
    <row r="913" customFormat="false" ht="14.25" hidden="false" customHeight="false" outlineLevel="0" collapsed="false">
      <c r="A913" s="282"/>
      <c r="B913" s="282"/>
      <c r="C913" s="282"/>
      <c r="D913" s="282"/>
      <c r="E913" s="282"/>
      <c r="F913" s="282"/>
      <c r="G913" s="282"/>
      <c r="H913" s="282"/>
      <c r="I913" s="282"/>
      <c r="J913" s="282"/>
      <c r="K913" s="282"/>
      <c r="L913" s="282"/>
      <c r="M913" s="282"/>
      <c r="N913" s="282"/>
      <c r="O913" s="282"/>
      <c r="P913" s="282"/>
      <c r="Q913" s="282"/>
      <c r="R913" s="282"/>
      <c r="S913" s="282"/>
      <c r="T913" s="282"/>
      <c r="U913" s="282"/>
      <c r="V913" s="282"/>
      <c r="W913" s="282"/>
      <c r="X913" s="282"/>
    </row>
    <row r="914" customFormat="false" ht="14.25" hidden="false" customHeight="false" outlineLevel="0" collapsed="false">
      <c r="A914" s="282"/>
      <c r="B914" s="282"/>
      <c r="C914" s="282"/>
      <c r="D914" s="282"/>
      <c r="E914" s="282"/>
      <c r="F914" s="282"/>
      <c r="G914" s="282"/>
      <c r="H914" s="282"/>
      <c r="I914" s="282"/>
      <c r="J914" s="282"/>
      <c r="K914" s="282"/>
      <c r="L914" s="282"/>
      <c r="M914" s="282"/>
      <c r="N914" s="282"/>
      <c r="O914" s="282"/>
      <c r="P914" s="282"/>
      <c r="Q914" s="282"/>
      <c r="R914" s="282"/>
      <c r="S914" s="282"/>
      <c r="T914" s="282"/>
      <c r="U914" s="282"/>
      <c r="V914" s="282"/>
      <c r="W914" s="282"/>
      <c r="X914" s="282"/>
    </row>
    <row r="915" customFormat="false" ht="14.25" hidden="false" customHeight="false" outlineLevel="0" collapsed="false">
      <c r="A915" s="282"/>
      <c r="B915" s="282"/>
      <c r="C915" s="282"/>
      <c r="D915" s="282"/>
      <c r="E915" s="282"/>
      <c r="F915" s="282"/>
      <c r="G915" s="282"/>
      <c r="H915" s="282"/>
      <c r="I915" s="282"/>
      <c r="J915" s="282"/>
      <c r="K915" s="282"/>
      <c r="L915" s="282"/>
      <c r="M915" s="282"/>
      <c r="N915" s="282"/>
      <c r="O915" s="282"/>
      <c r="P915" s="282"/>
      <c r="Q915" s="282"/>
      <c r="R915" s="282"/>
      <c r="S915" s="282"/>
      <c r="T915" s="282"/>
      <c r="U915" s="282"/>
      <c r="V915" s="282"/>
      <c r="W915" s="282"/>
      <c r="X915" s="282"/>
    </row>
    <row r="916" customFormat="false" ht="14.25" hidden="false" customHeight="false" outlineLevel="0" collapsed="false">
      <c r="A916" s="282"/>
      <c r="B916" s="282"/>
      <c r="C916" s="282"/>
      <c r="D916" s="282"/>
      <c r="E916" s="282"/>
      <c r="F916" s="282"/>
      <c r="G916" s="282"/>
      <c r="H916" s="282"/>
      <c r="I916" s="282"/>
      <c r="J916" s="282"/>
      <c r="K916" s="282"/>
      <c r="L916" s="282"/>
      <c r="M916" s="282"/>
      <c r="N916" s="282"/>
      <c r="O916" s="282"/>
      <c r="P916" s="282"/>
      <c r="Q916" s="282"/>
      <c r="R916" s="282"/>
      <c r="S916" s="282"/>
      <c r="T916" s="282"/>
      <c r="U916" s="282"/>
      <c r="V916" s="282"/>
      <c r="W916" s="282"/>
      <c r="X916" s="282"/>
    </row>
    <row r="917" customFormat="false" ht="14.25" hidden="false" customHeight="false" outlineLevel="0" collapsed="false">
      <c r="A917" s="282"/>
      <c r="B917" s="282"/>
      <c r="C917" s="282"/>
      <c r="D917" s="282"/>
      <c r="E917" s="282"/>
      <c r="F917" s="282"/>
      <c r="G917" s="282"/>
      <c r="H917" s="282"/>
      <c r="I917" s="282"/>
      <c r="J917" s="282"/>
      <c r="K917" s="282"/>
      <c r="L917" s="282"/>
      <c r="M917" s="282"/>
      <c r="N917" s="282"/>
      <c r="O917" s="282"/>
      <c r="P917" s="282"/>
      <c r="Q917" s="282"/>
      <c r="R917" s="282"/>
      <c r="S917" s="282"/>
      <c r="T917" s="282"/>
      <c r="U917" s="282"/>
      <c r="V917" s="282"/>
      <c r="W917" s="282"/>
      <c r="X917" s="282"/>
    </row>
    <row r="918" customFormat="false" ht="14.25" hidden="false" customHeight="false" outlineLevel="0" collapsed="false">
      <c r="A918" s="282"/>
      <c r="B918" s="282"/>
      <c r="C918" s="282"/>
      <c r="D918" s="282"/>
      <c r="E918" s="282"/>
      <c r="F918" s="282"/>
      <c r="G918" s="282"/>
      <c r="H918" s="282"/>
      <c r="I918" s="282"/>
      <c r="J918" s="282"/>
      <c r="K918" s="282"/>
      <c r="L918" s="282"/>
      <c r="M918" s="282"/>
      <c r="N918" s="282"/>
      <c r="O918" s="282"/>
      <c r="P918" s="282"/>
      <c r="Q918" s="282"/>
      <c r="R918" s="282"/>
      <c r="S918" s="282"/>
      <c r="T918" s="282"/>
      <c r="U918" s="282"/>
      <c r="V918" s="282"/>
      <c r="W918" s="282"/>
      <c r="X918" s="282"/>
    </row>
    <row r="919" customFormat="false" ht="14.25" hidden="false" customHeight="false" outlineLevel="0" collapsed="false">
      <c r="A919" s="282"/>
      <c r="B919" s="282"/>
      <c r="C919" s="282"/>
      <c r="D919" s="282"/>
      <c r="E919" s="282"/>
      <c r="F919" s="282"/>
      <c r="G919" s="282"/>
      <c r="H919" s="282"/>
      <c r="I919" s="282"/>
      <c r="J919" s="282"/>
      <c r="K919" s="282"/>
      <c r="L919" s="282"/>
      <c r="M919" s="282"/>
      <c r="N919" s="282"/>
      <c r="O919" s="282"/>
      <c r="P919" s="282"/>
      <c r="Q919" s="282"/>
      <c r="R919" s="282"/>
      <c r="S919" s="282"/>
      <c r="T919" s="282"/>
      <c r="U919" s="282"/>
      <c r="V919" s="282"/>
      <c r="W919" s="282"/>
      <c r="X919" s="282"/>
    </row>
    <row r="920" customFormat="false" ht="14.25" hidden="false" customHeight="false" outlineLevel="0" collapsed="false">
      <c r="A920" s="282"/>
      <c r="B920" s="282"/>
      <c r="C920" s="282"/>
      <c r="D920" s="282"/>
      <c r="E920" s="282"/>
      <c r="F920" s="282"/>
      <c r="G920" s="282"/>
      <c r="H920" s="282"/>
      <c r="I920" s="282"/>
      <c r="J920" s="282"/>
      <c r="K920" s="282"/>
      <c r="L920" s="282"/>
      <c r="M920" s="282"/>
      <c r="N920" s="282"/>
      <c r="O920" s="282"/>
      <c r="P920" s="282"/>
      <c r="Q920" s="282"/>
      <c r="R920" s="282"/>
      <c r="S920" s="282"/>
      <c r="T920" s="282"/>
      <c r="U920" s="282"/>
      <c r="V920" s="282"/>
      <c r="W920" s="282"/>
      <c r="X920" s="282"/>
    </row>
    <row r="921" customFormat="false" ht="14.25" hidden="false" customHeight="false" outlineLevel="0" collapsed="false">
      <c r="A921" s="282"/>
      <c r="B921" s="282"/>
      <c r="C921" s="282"/>
      <c r="D921" s="282"/>
      <c r="E921" s="282"/>
      <c r="F921" s="282"/>
      <c r="G921" s="282"/>
      <c r="H921" s="282"/>
      <c r="I921" s="282"/>
      <c r="J921" s="282"/>
      <c r="K921" s="282"/>
      <c r="L921" s="282"/>
      <c r="M921" s="282"/>
      <c r="N921" s="282"/>
      <c r="O921" s="282"/>
      <c r="P921" s="282"/>
      <c r="Q921" s="282"/>
      <c r="R921" s="282"/>
      <c r="S921" s="282"/>
      <c r="T921" s="282"/>
      <c r="U921" s="282"/>
      <c r="V921" s="282"/>
      <c r="W921" s="282"/>
      <c r="X921" s="282"/>
    </row>
    <row r="922" customFormat="false" ht="14.25" hidden="false" customHeight="false" outlineLevel="0" collapsed="false">
      <c r="A922" s="282"/>
      <c r="B922" s="282"/>
      <c r="C922" s="282"/>
      <c r="D922" s="282"/>
      <c r="E922" s="282"/>
      <c r="F922" s="282"/>
      <c r="G922" s="282"/>
      <c r="H922" s="282"/>
      <c r="I922" s="282"/>
      <c r="J922" s="282"/>
      <c r="K922" s="282"/>
      <c r="L922" s="282"/>
      <c r="M922" s="282"/>
      <c r="N922" s="282"/>
      <c r="O922" s="282"/>
      <c r="P922" s="282"/>
      <c r="Q922" s="282"/>
      <c r="R922" s="282"/>
      <c r="S922" s="282"/>
      <c r="T922" s="282"/>
      <c r="U922" s="282"/>
      <c r="V922" s="282"/>
      <c r="W922" s="282"/>
      <c r="X922" s="282"/>
    </row>
    <row r="923" customFormat="false" ht="14.25" hidden="false" customHeight="false" outlineLevel="0" collapsed="false">
      <c r="A923" s="282"/>
      <c r="B923" s="282"/>
      <c r="C923" s="282"/>
      <c r="D923" s="282"/>
      <c r="E923" s="282"/>
      <c r="F923" s="282"/>
      <c r="G923" s="282"/>
      <c r="H923" s="282"/>
      <c r="I923" s="282"/>
      <c r="J923" s="282"/>
      <c r="K923" s="282"/>
      <c r="L923" s="282"/>
      <c r="M923" s="282"/>
      <c r="N923" s="282"/>
      <c r="O923" s="282"/>
      <c r="P923" s="282"/>
      <c r="Q923" s="282"/>
      <c r="R923" s="282"/>
      <c r="S923" s="282"/>
      <c r="T923" s="282"/>
      <c r="U923" s="282"/>
      <c r="V923" s="282"/>
      <c r="W923" s="282"/>
      <c r="X923" s="282"/>
    </row>
    <row r="924" customFormat="false" ht="14.25" hidden="false" customHeight="false" outlineLevel="0" collapsed="false">
      <c r="A924" s="282"/>
      <c r="B924" s="282"/>
      <c r="C924" s="282"/>
      <c r="D924" s="282"/>
      <c r="E924" s="282"/>
      <c r="F924" s="282"/>
      <c r="G924" s="282"/>
      <c r="H924" s="282"/>
      <c r="I924" s="282"/>
      <c r="J924" s="282"/>
      <c r="K924" s="282"/>
      <c r="L924" s="282"/>
      <c r="M924" s="282"/>
      <c r="N924" s="282"/>
      <c r="O924" s="282"/>
      <c r="P924" s="282"/>
      <c r="Q924" s="282"/>
      <c r="R924" s="282"/>
      <c r="S924" s="282"/>
      <c r="T924" s="282"/>
      <c r="U924" s="282"/>
      <c r="V924" s="282"/>
      <c r="W924" s="282"/>
      <c r="X924" s="282"/>
    </row>
    <row r="925" customFormat="false" ht="14.25" hidden="false" customHeight="false" outlineLevel="0" collapsed="false">
      <c r="A925" s="282"/>
      <c r="B925" s="282"/>
      <c r="C925" s="282"/>
      <c r="D925" s="282"/>
      <c r="E925" s="282"/>
      <c r="F925" s="282"/>
      <c r="G925" s="282"/>
      <c r="H925" s="282"/>
      <c r="I925" s="282"/>
      <c r="J925" s="282"/>
      <c r="K925" s="282"/>
      <c r="L925" s="282"/>
      <c r="M925" s="282"/>
      <c r="N925" s="282"/>
      <c r="O925" s="282"/>
      <c r="P925" s="282"/>
      <c r="Q925" s="282"/>
      <c r="R925" s="282"/>
      <c r="S925" s="282"/>
      <c r="T925" s="282"/>
      <c r="U925" s="282"/>
      <c r="V925" s="282"/>
      <c r="W925" s="282"/>
      <c r="X925" s="282"/>
    </row>
    <row r="926" customFormat="false" ht="14.25" hidden="false" customHeight="false" outlineLevel="0" collapsed="false">
      <c r="A926" s="282"/>
      <c r="B926" s="282"/>
      <c r="C926" s="282"/>
      <c r="D926" s="282"/>
      <c r="E926" s="282"/>
      <c r="F926" s="282"/>
      <c r="G926" s="282"/>
      <c r="H926" s="282"/>
      <c r="I926" s="282"/>
      <c r="J926" s="282"/>
      <c r="K926" s="282"/>
      <c r="L926" s="282"/>
      <c r="M926" s="282"/>
      <c r="N926" s="282"/>
      <c r="O926" s="282"/>
      <c r="P926" s="282"/>
      <c r="Q926" s="282"/>
      <c r="R926" s="282"/>
      <c r="S926" s="282"/>
      <c r="T926" s="282"/>
      <c r="U926" s="282"/>
      <c r="V926" s="282"/>
      <c r="W926" s="282"/>
      <c r="X926" s="282"/>
    </row>
    <row r="927" customFormat="false" ht="14.25" hidden="false" customHeight="false" outlineLevel="0" collapsed="false">
      <c r="A927" s="282"/>
      <c r="B927" s="282"/>
      <c r="C927" s="282"/>
      <c r="D927" s="282"/>
      <c r="E927" s="282"/>
      <c r="F927" s="282"/>
      <c r="G927" s="282"/>
      <c r="H927" s="282"/>
      <c r="I927" s="282"/>
      <c r="J927" s="282"/>
      <c r="K927" s="282"/>
      <c r="L927" s="282"/>
      <c r="M927" s="282"/>
      <c r="N927" s="282"/>
      <c r="O927" s="282"/>
      <c r="P927" s="282"/>
      <c r="Q927" s="282"/>
      <c r="R927" s="282"/>
      <c r="S927" s="282"/>
      <c r="T927" s="282"/>
      <c r="U927" s="282"/>
      <c r="V927" s="282"/>
      <c r="W927" s="282"/>
      <c r="X927" s="282"/>
    </row>
    <row r="928" customFormat="false" ht="14.25" hidden="false" customHeight="false" outlineLevel="0" collapsed="false">
      <c r="A928" s="282"/>
      <c r="B928" s="282"/>
      <c r="C928" s="282"/>
      <c r="D928" s="282"/>
      <c r="E928" s="282"/>
      <c r="F928" s="282"/>
      <c r="G928" s="282"/>
      <c r="H928" s="282"/>
      <c r="I928" s="282"/>
      <c r="J928" s="282"/>
      <c r="K928" s="282"/>
      <c r="L928" s="282"/>
      <c r="M928" s="282"/>
      <c r="N928" s="282"/>
      <c r="O928" s="282"/>
      <c r="P928" s="282"/>
      <c r="Q928" s="282"/>
      <c r="R928" s="282"/>
      <c r="S928" s="282"/>
      <c r="T928" s="282"/>
      <c r="U928" s="282"/>
      <c r="V928" s="282"/>
      <c r="W928" s="282"/>
      <c r="X928" s="282"/>
    </row>
    <row r="929" customFormat="false" ht="14.25" hidden="false" customHeight="false" outlineLevel="0" collapsed="false">
      <c r="A929" s="282"/>
      <c r="B929" s="282"/>
      <c r="C929" s="282"/>
      <c r="D929" s="282"/>
      <c r="E929" s="282"/>
      <c r="F929" s="282"/>
      <c r="G929" s="282"/>
      <c r="H929" s="282"/>
      <c r="I929" s="282"/>
      <c r="J929" s="282"/>
      <c r="K929" s="282"/>
      <c r="L929" s="282"/>
      <c r="M929" s="282"/>
      <c r="N929" s="282"/>
      <c r="O929" s="282"/>
      <c r="P929" s="282"/>
      <c r="Q929" s="282"/>
      <c r="R929" s="282"/>
      <c r="S929" s="282"/>
      <c r="T929" s="282"/>
      <c r="U929" s="282"/>
      <c r="V929" s="282"/>
      <c r="W929" s="282"/>
      <c r="X929" s="282"/>
    </row>
    <row r="930" customFormat="false" ht="14.25" hidden="false" customHeight="false" outlineLevel="0" collapsed="false">
      <c r="A930" s="282"/>
      <c r="B930" s="282"/>
      <c r="C930" s="282"/>
      <c r="D930" s="282"/>
      <c r="E930" s="282"/>
      <c r="F930" s="282"/>
      <c r="G930" s="282"/>
      <c r="H930" s="282"/>
      <c r="I930" s="282"/>
      <c r="J930" s="282"/>
      <c r="K930" s="282"/>
      <c r="L930" s="282"/>
      <c r="M930" s="282"/>
      <c r="N930" s="282"/>
      <c r="O930" s="282"/>
      <c r="P930" s="282"/>
      <c r="Q930" s="282"/>
      <c r="R930" s="282"/>
      <c r="S930" s="282"/>
      <c r="T930" s="282"/>
      <c r="U930" s="282"/>
      <c r="V930" s="282"/>
      <c r="W930" s="282"/>
      <c r="X930" s="282"/>
    </row>
    <row r="931" customFormat="false" ht="14.25" hidden="false" customHeight="false" outlineLevel="0" collapsed="false">
      <c r="A931" s="282"/>
      <c r="B931" s="282"/>
      <c r="C931" s="282"/>
      <c r="D931" s="282"/>
      <c r="E931" s="282"/>
      <c r="F931" s="282"/>
      <c r="G931" s="282"/>
      <c r="H931" s="282"/>
      <c r="I931" s="282"/>
      <c r="J931" s="282"/>
      <c r="K931" s="282"/>
      <c r="L931" s="282"/>
      <c r="M931" s="282"/>
      <c r="N931" s="282"/>
      <c r="O931" s="282"/>
      <c r="P931" s="282"/>
      <c r="Q931" s="282"/>
      <c r="R931" s="282"/>
      <c r="S931" s="282"/>
      <c r="T931" s="282"/>
      <c r="U931" s="282"/>
      <c r="V931" s="282"/>
      <c r="W931" s="282"/>
      <c r="X931" s="282"/>
    </row>
    <row r="932" customFormat="false" ht="14.25" hidden="false" customHeight="false" outlineLevel="0" collapsed="false">
      <c r="A932" s="282"/>
      <c r="B932" s="282"/>
      <c r="C932" s="282"/>
      <c r="D932" s="282"/>
      <c r="E932" s="282"/>
      <c r="F932" s="282"/>
      <c r="G932" s="282"/>
      <c r="H932" s="282"/>
      <c r="I932" s="282"/>
      <c r="J932" s="282"/>
      <c r="K932" s="282"/>
      <c r="L932" s="282"/>
      <c r="M932" s="282"/>
      <c r="N932" s="282"/>
      <c r="O932" s="282"/>
      <c r="P932" s="282"/>
      <c r="Q932" s="282"/>
      <c r="R932" s="282"/>
      <c r="S932" s="282"/>
      <c r="T932" s="282"/>
      <c r="U932" s="282"/>
      <c r="V932" s="282"/>
      <c r="W932" s="282"/>
      <c r="X932" s="282"/>
    </row>
    <row r="933" customFormat="false" ht="14.25" hidden="false" customHeight="false" outlineLevel="0" collapsed="false">
      <c r="A933" s="282"/>
      <c r="B933" s="282"/>
      <c r="C933" s="282"/>
      <c r="D933" s="282"/>
      <c r="E933" s="282"/>
      <c r="F933" s="282"/>
      <c r="G933" s="282"/>
      <c r="H933" s="282"/>
      <c r="I933" s="282"/>
      <c r="J933" s="282"/>
      <c r="K933" s="282"/>
      <c r="L933" s="282"/>
      <c r="M933" s="282"/>
      <c r="N933" s="282"/>
      <c r="O933" s="282"/>
      <c r="P933" s="282"/>
      <c r="Q933" s="282"/>
      <c r="R933" s="282"/>
      <c r="S933" s="282"/>
      <c r="T933" s="282"/>
      <c r="U933" s="282"/>
      <c r="V933" s="282"/>
      <c r="W933" s="282"/>
      <c r="X933" s="282"/>
    </row>
    <row r="934" customFormat="false" ht="14.25" hidden="false" customHeight="false" outlineLevel="0" collapsed="false">
      <c r="A934" s="282"/>
      <c r="B934" s="282"/>
      <c r="C934" s="282"/>
      <c r="D934" s="282"/>
      <c r="E934" s="282"/>
      <c r="F934" s="282"/>
      <c r="G934" s="282"/>
      <c r="H934" s="282"/>
      <c r="I934" s="282"/>
      <c r="J934" s="282"/>
      <c r="K934" s="282"/>
      <c r="L934" s="282"/>
      <c r="M934" s="282"/>
      <c r="N934" s="282"/>
      <c r="O934" s="282"/>
      <c r="P934" s="282"/>
      <c r="Q934" s="282"/>
      <c r="R934" s="282"/>
      <c r="S934" s="282"/>
      <c r="T934" s="282"/>
      <c r="U934" s="282"/>
      <c r="V934" s="282"/>
      <c r="W934" s="282"/>
      <c r="X934" s="282"/>
    </row>
    <row r="935" customFormat="false" ht="14.25" hidden="false" customHeight="false" outlineLevel="0" collapsed="false">
      <c r="A935" s="282"/>
      <c r="B935" s="282"/>
      <c r="C935" s="282"/>
      <c r="D935" s="282"/>
      <c r="E935" s="282"/>
      <c r="F935" s="282"/>
      <c r="G935" s="282"/>
      <c r="H935" s="282"/>
      <c r="I935" s="282"/>
      <c r="J935" s="282"/>
      <c r="K935" s="282"/>
      <c r="L935" s="282"/>
      <c r="M935" s="282"/>
      <c r="N935" s="282"/>
      <c r="O935" s="282"/>
      <c r="P935" s="282"/>
      <c r="Q935" s="282"/>
      <c r="R935" s="282"/>
      <c r="S935" s="282"/>
      <c r="T935" s="282"/>
      <c r="U935" s="282"/>
      <c r="V935" s="282"/>
      <c r="W935" s="282"/>
      <c r="X935" s="282"/>
    </row>
    <row r="936" customFormat="false" ht="14.25" hidden="false" customHeight="false" outlineLevel="0" collapsed="false">
      <c r="A936" s="282"/>
      <c r="B936" s="282"/>
      <c r="C936" s="282"/>
      <c r="D936" s="282"/>
      <c r="E936" s="282"/>
      <c r="F936" s="282"/>
      <c r="G936" s="282"/>
      <c r="H936" s="282"/>
      <c r="I936" s="282"/>
      <c r="J936" s="282"/>
      <c r="K936" s="282"/>
      <c r="L936" s="282"/>
      <c r="M936" s="282"/>
      <c r="N936" s="282"/>
      <c r="O936" s="282"/>
      <c r="P936" s="282"/>
      <c r="Q936" s="282"/>
      <c r="R936" s="282"/>
      <c r="S936" s="282"/>
      <c r="T936" s="282"/>
      <c r="U936" s="282"/>
      <c r="V936" s="282"/>
      <c r="W936" s="282"/>
      <c r="X936" s="282"/>
    </row>
    <row r="937" customFormat="false" ht="14.25" hidden="false" customHeight="false" outlineLevel="0" collapsed="false">
      <c r="A937" s="282"/>
      <c r="B937" s="282"/>
      <c r="C937" s="282"/>
      <c r="D937" s="282"/>
      <c r="E937" s="282"/>
      <c r="F937" s="282"/>
      <c r="G937" s="282"/>
      <c r="H937" s="282"/>
      <c r="I937" s="282"/>
      <c r="J937" s="282"/>
      <c r="K937" s="282"/>
      <c r="L937" s="282"/>
      <c r="M937" s="282"/>
      <c r="N937" s="282"/>
      <c r="O937" s="282"/>
      <c r="P937" s="282"/>
      <c r="Q937" s="282"/>
      <c r="R937" s="282"/>
      <c r="S937" s="282"/>
      <c r="T937" s="282"/>
      <c r="U937" s="282"/>
      <c r="V937" s="282"/>
      <c r="W937" s="282"/>
      <c r="X937" s="282"/>
    </row>
    <row r="938" customFormat="false" ht="14.25" hidden="false" customHeight="false" outlineLevel="0" collapsed="false">
      <c r="A938" s="282"/>
      <c r="B938" s="282"/>
      <c r="C938" s="282"/>
      <c r="D938" s="282"/>
      <c r="E938" s="282"/>
      <c r="F938" s="282"/>
      <c r="G938" s="282"/>
      <c r="H938" s="282"/>
      <c r="I938" s="282"/>
      <c r="J938" s="282"/>
      <c r="K938" s="282"/>
      <c r="L938" s="282"/>
      <c r="M938" s="282"/>
      <c r="N938" s="282"/>
      <c r="O938" s="282"/>
      <c r="P938" s="282"/>
      <c r="Q938" s="282"/>
      <c r="R938" s="282"/>
      <c r="S938" s="282"/>
      <c r="T938" s="282"/>
      <c r="U938" s="282"/>
      <c r="V938" s="282"/>
      <c r="W938" s="282"/>
      <c r="X938" s="282"/>
    </row>
    <row r="939" customFormat="false" ht="14.25" hidden="false" customHeight="false" outlineLevel="0" collapsed="false">
      <c r="A939" s="282"/>
      <c r="B939" s="282"/>
      <c r="C939" s="282"/>
      <c r="D939" s="282"/>
      <c r="E939" s="282"/>
      <c r="F939" s="282"/>
      <c r="G939" s="282"/>
      <c r="H939" s="282"/>
      <c r="I939" s="282"/>
      <c r="J939" s="282"/>
      <c r="K939" s="282"/>
      <c r="L939" s="282"/>
      <c r="M939" s="282"/>
      <c r="N939" s="282"/>
      <c r="O939" s="282"/>
      <c r="P939" s="282"/>
      <c r="Q939" s="282"/>
      <c r="R939" s="282"/>
      <c r="S939" s="282"/>
      <c r="T939" s="282"/>
      <c r="U939" s="282"/>
      <c r="V939" s="282"/>
      <c r="W939" s="282"/>
      <c r="X939" s="282"/>
    </row>
    <row r="940" customFormat="false" ht="14.25" hidden="false" customHeight="false" outlineLevel="0" collapsed="false">
      <c r="A940" s="282"/>
      <c r="B940" s="282"/>
      <c r="C940" s="282"/>
      <c r="D940" s="282"/>
      <c r="E940" s="282"/>
      <c r="F940" s="282"/>
      <c r="G940" s="282"/>
      <c r="H940" s="282"/>
      <c r="I940" s="282"/>
      <c r="J940" s="282"/>
      <c r="K940" s="282"/>
      <c r="L940" s="282"/>
      <c r="M940" s="282"/>
      <c r="N940" s="282"/>
      <c r="O940" s="282"/>
      <c r="P940" s="282"/>
      <c r="Q940" s="282"/>
      <c r="R940" s="282"/>
      <c r="S940" s="282"/>
      <c r="T940" s="282"/>
      <c r="U940" s="282"/>
      <c r="V940" s="282"/>
      <c r="W940" s="282"/>
      <c r="X940" s="282"/>
    </row>
    <row r="941" customFormat="false" ht="14.25" hidden="false" customHeight="false" outlineLevel="0" collapsed="false">
      <c r="A941" s="282"/>
      <c r="B941" s="282"/>
      <c r="C941" s="282"/>
      <c r="D941" s="282"/>
      <c r="E941" s="282"/>
      <c r="F941" s="282"/>
      <c r="G941" s="282"/>
      <c r="H941" s="282"/>
      <c r="I941" s="282"/>
      <c r="J941" s="282"/>
      <c r="K941" s="282"/>
      <c r="L941" s="282"/>
      <c r="M941" s="282"/>
      <c r="N941" s="282"/>
      <c r="O941" s="282"/>
      <c r="P941" s="282"/>
      <c r="Q941" s="282"/>
      <c r="R941" s="282"/>
      <c r="S941" s="282"/>
      <c r="T941" s="282"/>
      <c r="U941" s="282"/>
      <c r="V941" s="282"/>
      <c r="W941" s="282"/>
      <c r="X941" s="282"/>
    </row>
    <row r="942" customFormat="false" ht="14.25" hidden="false" customHeight="false" outlineLevel="0" collapsed="false">
      <c r="A942" s="282"/>
      <c r="B942" s="282"/>
      <c r="C942" s="282"/>
      <c r="D942" s="282"/>
      <c r="E942" s="282"/>
      <c r="F942" s="282"/>
      <c r="G942" s="282"/>
      <c r="H942" s="282"/>
      <c r="I942" s="282"/>
      <c r="J942" s="282"/>
      <c r="K942" s="282"/>
      <c r="L942" s="282"/>
      <c r="M942" s="282"/>
      <c r="N942" s="282"/>
      <c r="O942" s="282"/>
      <c r="P942" s="282"/>
      <c r="Q942" s="282"/>
      <c r="R942" s="282"/>
      <c r="S942" s="282"/>
      <c r="T942" s="282"/>
      <c r="U942" s="282"/>
      <c r="V942" s="282"/>
      <c r="W942" s="282"/>
      <c r="X942" s="282"/>
    </row>
    <row r="943" customFormat="false" ht="14.25" hidden="false" customHeight="false" outlineLevel="0" collapsed="false">
      <c r="A943" s="282"/>
      <c r="B943" s="282"/>
      <c r="C943" s="282"/>
      <c r="D943" s="282"/>
      <c r="E943" s="282"/>
      <c r="F943" s="282"/>
      <c r="G943" s="282"/>
      <c r="H943" s="282"/>
      <c r="I943" s="282"/>
      <c r="J943" s="282"/>
      <c r="K943" s="282"/>
      <c r="L943" s="282"/>
      <c r="M943" s="282"/>
      <c r="N943" s="282"/>
      <c r="O943" s="282"/>
      <c r="P943" s="282"/>
      <c r="Q943" s="282"/>
      <c r="R943" s="282"/>
      <c r="S943" s="282"/>
      <c r="T943" s="282"/>
      <c r="U943" s="282"/>
      <c r="V943" s="282"/>
      <c r="W943" s="282"/>
      <c r="X943" s="282"/>
    </row>
    <row r="944" customFormat="false" ht="14.25" hidden="false" customHeight="false" outlineLevel="0" collapsed="false">
      <c r="A944" s="282"/>
      <c r="B944" s="282"/>
      <c r="C944" s="282"/>
      <c r="D944" s="282"/>
      <c r="E944" s="282"/>
      <c r="F944" s="282"/>
      <c r="G944" s="282"/>
      <c r="H944" s="282"/>
      <c r="I944" s="282"/>
      <c r="J944" s="282"/>
      <c r="K944" s="282"/>
      <c r="L944" s="282"/>
      <c r="M944" s="282"/>
      <c r="N944" s="282"/>
      <c r="O944" s="282"/>
      <c r="P944" s="282"/>
      <c r="Q944" s="282"/>
      <c r="R944" s="282"/>
      <c r="S944" s="282"/>
      <c r="T944" s="282"/>
      <c r="U944" s="282"/>
      <c r="V944" s="282"/>
      <c r="W944" s="282"/>
      <c r="X944" s="282"/>
    </row>
    <row r="945" customFormat="false" ht="14.25" hidden="false" customHeight="false" outlineLevel="0" collapsed="false">
      <c r="A945" s="282"/>
      <c r="B945" s="282"/>
      <c r="C945" s="282"/>
      <c r="D945" s="282"/>
      <c r="E945" s="282"/>
      <c r="F945" s="282"/>
      <c r="G945" s="282"/>
      <c r="H945" s="282"/>
      <c r="I945" s="282"/>
      <c r="J945" s="282"/>
      <c r="K945" s="282"/>
      <c r="L945" s="282"/>
      <c r="M945" s="282"/>
      <c r="N945" s="282"/>
      <c r="O945" s="282"/>
      <c r="P945" s="282"/>
      <c r="Q945" s="282"/>
      <c r="R945" s="282"/>
      <c r="S945" s="282"/>
      <c r="T945" s="282"/>
      <c r="U945" s="282"/>
      <c r="V945" s="282"/>
      <c r="W945" s="282"/>
      <c r="X945" s="282"/>
    </row>
    <row r="946" customFormat="false" ht="14.25" hidden="false" customHeight="false" outlineLevel="0" collapsed="false">
      <c r="A946" s="282"/>
      <c r="B946" s="282"/>
      <c r="C946" s="282"/>
      <c r="D946" s="282"/>
      <c r="E946" s="282"/>
      <c r="F946" s="282"/>
      <c r="G946" s="282"/>
      <c r="H946" s="282"/>
      <c r="I946" s="282"/>
      <c r="J946" s="282"/>
      <c r="K946" s="282"/>
      <c r="L946" s="282"/>
      <c r="M946" s="282"/>
      <c r="N946" s="282"/>
      <c r="O946" s="282"/>
      <c r="P946" s="282"/>
      <c r="Q946" s="282"/>
      <c r="R946" s="282"/>
      <c r="S946" s="282"/>
      <c r="T946" s="282"/>
      <c r="U946" s="282"/>
      <c r="V946" s="282"/>
      <c r="W946" s="282"/>
      <c r="X946" s="282"/>
    </row>
    <row r="947" customFormat="false" ht="14.25" hidden="false" customHeight="false" outlineLevel="0" collapsed="false">
      <c r="A947" s="282"/>
      <c r="B947" s="282"/>
      <c r="C947" s="282"/>
      <c r="D947" s="282"/>
      <c r="E947" s="282"/>
      <c r="F947" s="282"/>
      <c r="G947" s="282"/>
      <c r="H947" s="282"/>
      <c r="I947" s="282"/>
      <c r="J947" s="282"/>
      <c r="K947" s="282"/>
      <c r="L947" s="282"/>
      <c r="M947" s="282"/>
      <c r="N947" s="282"/>
      <c r="O947" s="282"/>
      <c r="P947" s="282"/>
      <c r="Q947" s="282"/>
      <c r="R947" s="282"/>
      <c r="S947" s="282"/>
      <c r="T947" s="282"/>
      <c r="U947" s="282"/>
      <c r="V947" s="282"/>
      <c r="W947" s="282"/>
      <c r="X947" s="282"/>
    </row>
    <row r="948" customFormat="false" ht="14.25" hidden="false" customHeight="false" outlineLevel="0" collapsed="false">
      <c r="A948" s="282"/>
      <c r="B948" s="282"/>
      <c r="C948" s="282"/>
      <c r="D948" s="282"/>
      <c r="E948" s="282"/>
      <c r="F948" s="282"/>
      <c r="G948" s="282"/>
      <c r="H948" s="282"/>
      <c r="I948" s="282"/>
      <c r="J948" s="282"/>
      <c r="K948" s="282"/>
      <c r="L948" s="282"/>
      <c r="M948" s="282"/>
      <c r="N948" s="282"/>
      <c r="O948" s="282"/>
      <c r="P948" s="282"/>
      <c r="Q948" s="282"/>
      <c r="R948" s="282"/>
      <c r="S948" s="282"/>
      <c r="T948" s="282"/>
      <c r="U948" s="282"/>
      <c r="V948" s="282"/>
      <c r="W948" s="282"/>
      <c r="X948" s="282"/>
    </row>
    <row r="949" customFormat="false" ht="14.25" hidden="false" customHeight="false" outlineLevel="0" collapsed="false">
      <c r="A949" s="282"/>
      <c r="B949" s="282"/>
      <c r="C949" s="282"/>
      <c r="D949" s="282"/>
      <c r="E949" s="282"/>
      <c r="F949" s="282"/>
      <c r="G949" s="282"/>
      <c r="H949" s="282"/>
      <c r="I949" s="282"/>
      <c r="J949" s="282"/>
      <c r="K949" s="282"/>
      <c r="L949" s="282"/>
      <c r="M949" s="282"/>
      <c r="N949" s="282"/>
      <c r="O949" s="282"/>
      <c r="P949" s="282"/>
      <c r="Q949" s="282"/>
      <c r="R949" s="282"/>
      <c r="S949" s="282"/>
      <c r="T949" s="282"/>
      <c r="U949" s="282"/>
      <c r="V949" s="282"/>
      <c r="W949" s="282"/>
      <c r="X949" s="282"/>
    </row>
    <row r="950" customFormat="false" ht="14.25" hidden="false" customHeight="false" outlineLevel="0" collapsed="false">
      <c r="A950" s="282"/>
      <c r="B950" s="282"/>
      <c r="C950" s="282"/>
      <c r="D950" s="282"/>
      <c r="E950" s="282"/>
      <c r="F950" s="282"/>
      <c r="G950" s="282"/>
      <c r="H950" s="282"/>
      <c r="I950" s="282"/>
      <c r="J950" s="282"/>
      <c r="K950" s="282"/>
      <c r="L950" s="282"/>
      <c r="M950" s="282"/>
      <c r="N950" s="282"/>
      <c r="O950" s="282"/>
      <c r="P950" s="282"/>
      <c r="Q950" s="282"/>
      <c r="R950" s="282"/>
      <c r="S950" s="282"/>
      <c r="T950" s="282"/>
      <c r="U950" s="282"/>
      <c r="V950" s="282"/>
      <c r="W950" s="282"/>
      <c r="X950" s="282"/>
    </row>
    <row r="951" customFormat="false" ht="14.25" hidden="false" customHeight="false" outlineLevel="0" collapsed="false">
      <c r="A951" s="282"/>
      <c r="B951" s="282"/>
      <c r="C951" s="282"/>
      <c r="D951" s="282"/>
      <c r="E951" s="282"/>
      <c r="F951" s="282"/>
      <c r="G951" s="282"/>
      <c r="H951" s="282"/>
      <c r="I951" s="282"/>
      <c r="J951" s="282"/>
      <c r="K951" s="282"/>
      <c r="L951" s="282"/>
      <c r="M951" s="282"/>
      <c r="N951" s="282"/>
      <c r="O951" s="282"/>
      <c r="P951" s="282"/>
      <c r="Q951" s="282"/>
      <c r="R951" s="282"/>
      <c r="S951" s="282"/>
      <c r="T951" s="282"/>
      <c r="U951" s="282"/>
      <c r="V951" s="282"/>
      <c r="W951" s="282"/>
      <c r="X951" s="282"/>
    </row>
    <row r="952" customFormat="false" ht="14.25" hidden="false" customHeight="false" outlineLevel="0" collapsed="false">
      <c r="A952" s="282"/>
      <c r="B952" s="282"/>
      <c r="C952" s="282"/>
      <c r="D952" s="282"/>
      <c r="E952" s="282"/>
      <c r="F952" s="282"/>
      <c r="G952" s="282"/>
      <c r="H952" s="282"/>
      <c r="I952" s="282"/>
      <c r="J952" s="282"/>
      <c r="K952" s="282"/>
      <c r="L952" s="282"/>
      <c r="M952" s="282"/>
      <c r="N952" s="282"/>
      <c r="O952" s="282"/>
      <c r="P952" s="282"/>
      <c r="Q952" s="282"/>
      <c r="R952" s="282"/>
      <c r="S952" s="282"/>
      <c r="T952" s="282"/>
      <c r="U952" s="282"/>
      <c r="V952" s="282"/>
      <c r="W952" s="282"/>
      <c r="X952" s="282"/>
    </row>
    <row r="953" customFormat="false" ht="14.25" hidden="false" customHeight="false" outlineLevel="0" collapsed="false">
      <c r="A953" s="282"/>
      <c r="B953" s="282"/>
      <c r="C953" s="282"/>
      <c r="D953" s="282"/>
      <c r="E953" s="282"/>
      <c r="F953" s="282"/>
      <c r="G953" s="282"/>
      <c r="H953" s="282"/>
      <c r="I953" s="282"/>
      <c r="J953" s="282"/>
      <c r="K953" s="282"/>
      <c r="L953" s="282"/>
      <c r="M953" s="282"/>
      <c r="N953" s="282"/>
      <c r="O953" s="282"/>
      <c r="P953" s="282"/>
      <c r="Q953" s="282"/>
      <c r="R953" s="282"/>
      <c r="S953" s="282"/>
      <c r="T953" s="282"/>
      <c r="U953" s="282"/>
      <c r="V953" s="282"/>
      <c r="W953" s="282"/>
      <c r="X953" s="282"/>
    </row>
    <row r="954" customFormat="false" ht="14.25" hidden="false" customHeight="false" outlineLevel="0" collapsed="false">
      <c r="A954" s="282"/>
      <c r="B954" s="282"/>
      <c r="C954" s="282"/>
      <c r="D954" s="282"/>
      <c r="E954" s="282"/>
      <c r="F954" s="282"/>
      <c r="G954" s="282"/>
      <c r="H954" s="282"/>
      <c r="I954" s="282"/>
      <c r="J954" s="282"/>
      <c r="K954" s="282"/>
      <c r="L954" s="282"/>
      <c r="M954" s="282"/>
      <c r="N954" s="282"/>
      <c r="O954" s="282"/>
      <c r="P954" s="282"/>
      <c r="Q954" s="282"/>
      <c r="R954" s="282"/>
      <c r="S954" s="282"/>
      <c r="T954" s="282"/>
      <c r="U954" s="282"/>
      <c r="V954" s="282"/>
      <c r="W954" s="282"/>
      <c r="X954" s="282"/>
    </row>
    <row r="955" customFormat="false" ht="14.25" hidden="false" customHeight="false" outlineLevel="0" collapsed="false">
      <c r="A955" s="282"/>
      <c r="B955" s="282"/>
      <c r="C955" s="282"/>
      <c r="D955" s="282"/>
      <c r="E955" s="282"/>
      <c r="F955" s="282"/>
      <c r="G955" s="282"/>
      <c r="H955" s="282"/>
      <c r="I955" s="282"/>
      <c r="J955" s="282"/>
      <c r="K955" s="282"/>
      <c r="L955" s="282"/>
      <c r="M955" s="282"/>
      <c r="N955" s="282"/>
      <c r="O955" s="282"/>
      <c r="P955" s="282"/>
      <c r="Q955" s="282"/>
      <c r="R955" s="282"/>
      <c r="S955" s="282"/>
      <c r="T955" s="282"/>
      <c r="U955" s="282"/>
      <c r="V955" s="282"/>
      <c r="W955" s="282"/>
      <c r="X955" s="282"/>
    </row>
    <row r="956" customFormat="false" ht="14.25" hidden="false" customHeight="false" outlineLevel="0" collapsed="false">
      <c r="A956" s="282"/>
      <c r="B956" s="282"/>
      <c r="C956" s="282"/>
      <c r="D956" s="282"/>
      <c r="E956" s="282"/>
      <c r="F956" s="282"/>
      <c r="G956" s="282"/>
      <c r="H956" s="282"/>
      <c r="I956" s="282"/>
      <c r="J956" s="282"/>
      <c r="K956" s="282"/>
      <c r="L956" s="282"/>
      <c r="M956" s="282"/>
      <c r="N956" s="282"/>
      <c r="O956" s="282"/>
      <c r="P956" s="282"/>
      <c r="Q956" s="282"/>
      <c r="R956" s="282"/>
      <c r="S956" s="282"/>
      <c r="T956" s="282"/>
      <c r="U956" s="282"/>
      <c r="V956" s="282"/>
      <c r="W956" s="282"/>
      <c r="X956" s="282"/>
    </row>
    <row r="957" customFormat="false" ht="14.25" hidden="false" customHeight="false" outlineLevel="0" collapsed="false">
      <c r="A957" s="282"/>
      <c r="B957" s="282"/>
      <c r="C957" s="282"/>
      <c r="D957" s="282"/>
      <c r="E957" s="282"/>
      <c r="F957" s="282"/>
      <c r="G957" s="282"/>
      <c r="H957" s="282"/>
      <c r="I957" s="282"/>
      <c r="J957" s="282"/>
      <c r="K957" s="282"/>
      <c r="L957" s="282"/>
      <c r="M957" s="282"/>
      <c r="N957" s="282"/>
      <c r="O957" s="282"/>
      <c r="P957" s="282"/>
      <c r="Q957" s="282"/>
      <c r="R957" s="282"/>
      <c r="S957" s="282"/>
      <c r="T957" s="282"/>
      <c r="U957" s="282"/>
      <c r="V957" s="282"/>
      <c r="W957" s="282"/>
      <c r="X957" s="282"/>
    </row>
    <row r="958" customFormat="false" ht="14.25" hidden="false" customHeight="false" outlineLevel="0" collapsed="false">
      <c r="A958" s="282"/>
      <c r="B958" s="282"/>
      <c r="C958" s="282"/>
      <c r="D958" s="282"/>
      <c r="E958" s="282"/>
      <c r="F958" s="282"/>
      <c r="G958" s="282"/>
      <c r="H958" s="282"/>
      <c r="I958" s="282"/>
      <c r="J958" s="282"/>
      <c r="K958" s="282"/>
      <c r="L958" s="282"/>
      <c r="M958" s="282"/>
      <c r="N958" s="282"/>
      <c r="O958" s="282"/>
      <c r="P958" s="282"/>
      <c r="Q958" s="282"/>
      <c r="R958" s="282"/>
      <c r="S958" s="282"/>
      <c r="T958" s="282"/>
      <c r="U958" s="282"/>
      <c r="V958" s="282"/>
      <c r="W958" s="282"/>
      <c r="X958" s="282"/>
    </row>
    <row r="959" customFormat="false" ht="14.25" hidden="false" customHeight="false" outlineLevel="0" collapsed="false">
      <c r="A959" s="282"/>
      <c r="B959" s="282"/>
      <c r="C959" s="282"/>
      <c r="D959" s="282"/>
      <c r="E959" s="282"/>
      <c r="F959" s="282"/>
      <c r="G959" s="282"/>
      <c r="H959" s="282"/>
      <c r="I959" s="282"/>
      <c r="J959" s="282"/>
      <c r="K959" s="282"/>
      <c r="L959" s="282"/>
      <c r="M959" s="282"/>
      <c r="N959" s="282"/>
      <c r="O959" s="282"/>
      <c r="P959" s="282"/>
      <c r="Q959" s="282"/>
      <c r="R959" s="282"/>
      <c r="S959" s="282"/>
      <c r="T959" s="282"/>
      <c r="U959" s="282"/>
      <c r="V959" s="282"/>
      <c r="W959" s="282"/>
      <c r="X959" s="282"/>
    </row>
    <row r="960" customFormat="false" ht="14.25" hidden="false" customHeight="false" outlineLevel="0" collapsed="false">
      <c r="A960" s="282"/>
      <c r="B960" s="282"/>
      <c r="C960" s="282"/>
      <c r="D960" s="282"/>
      <c r="E960" s="282"/>
      <c r="F960" s="282"/>
      <c r="G960" s="282"/>
      <c r="H960" s="282"/>
      <c r="I960" s="282"/>
      <c r="J960" s="282"/>
      <c r="K960" s="282"/>
      <c r="L960" s="282"/>
      <c r="M960" s="282"/>
      <c r="N960" s="282"/>
      <c r="O960" s="282"/>
      <c r="P960" s="282"/>
      <c r="Q960" s="282"/>
      <c r="R960" s="282"/>
      <c r="S960" s="282"/>
      <c r="T960" s="282"/>
      <c r="U960" s="282"/>
      <c r="V960" s="282"/>
      <c r="W960" s="282"/>
      <c r="X960" s="282"/>
    </row>
    <row r="961" customFormat="false" ht="14.25" hidden="false" customHeight="false" outlineLevel="0" collapsed="false">
      <c r="A961" s="282"/>
      <c r="B961" s="282"/>
      <c r="C961" s="282"/>
      <c r="D961" s="282"/>
      <c r="E961" s="282"/>
      <c r="F961" s="282"/>
      <c r="G961" s="282"/>
      <c r="H961" s="282"/>
      <c r="I961" s="282"/>
      <c r="J961" s="282"/>
      <c r="K961" s="282"/>
      <c r="L961" s="282"/>
      <c r="M961" s="282"/>
      <c r="N961" s="282"/>
      <c r="O961" s="282"/>
      <c r="P961" s="282"/>
      <c r="Q961" s="282"/>
      <c r="R961" s="282"/>
      <c r="S961" s="282"/>
      <c r="T961" s="282"/>
      <c r="U961" s="282"/>
      <c r="V961" s="282"/>
      <c r="W961" s="282"/>
      <c r="X961" s="282"/>
    </row>
    <row r="962" customFormat="false" ht="14.25" hidden="false" customHeight="false" outlineLevel="0" collapsed="false">
      <c r="A962" s="282"/>
      <c r="B962" s="282"/>
      <c r="C962" s="282"/>
      <c r="D962" s="282"/>
      <c r="E962" s="282"/>
      <c r="F962" s="282"/>
      <c r="G962" s="282"/>
      <c r="H962" s="282"/>
      <c r="I962" s="282"/>
      <c r="J962" s="282"/>
      <c r="K962" s="282"/>
      <c r="L962" s="282"/>
      <c r="M962" s="282"/>
      <c r="N962" s="282"/>
      <c r="O962" s="282"/>
      <c r="P962" s="282"/>
      <c r="Q962" s="282"/>
      <c r="R962" s="282"/>
      <c r="S962" s="282"/>
      <c r="T962" s="282"/>
      <c r="U962" s="282"/>
      <c r="V962" s="282"/>
      <c r="W962" s="282"/>
      <c r="X962" s="282"/>
    </row>
    <row r="963" customFormat="false" ht="14.25" hidden="false" customHeight="false" outlineLevel="0" collapsed="false">
      <c r="A963" s="282"/>
      <c r="B963" s="282"/>
      <c r="C963" s="282"/>
      <c r="D963" s="282"/>
      <c r="E963" s="282"/>
      <c r="F963" s="282"/>
      <c r="G963" s="282"/>
      <c r="H963" s="282"/>
      <c r="I963" s="282"/>
      <c r="J963" s="282"/>
      <c r="K963" s="282"/>
      <c r="L963" s="282"/>
      <c r="M963" s="282"/>
      <c r="N963" s="282"/>
      <c r="O963" s="282"/>
      <c r="P963" s="282"/>
      <c r="Q963" s="282"/>
      <c r="R963" s="282"/>
      <c r="S963" s="282"/>
      <c r="T963" s="282"/>
      <c r="U963" s="282"/>
      <c r="V963" s="282"/>
      <c r="W963" s="282"/>
      <c r="X963" s="282"/>
    </row>
  </sheetData>
  <dataValidations count="1">
    <dataValidation allowBlank="false" errorStyle="stop" operator="between" showDropDown="false" showErrorMessage="true" showInputMessage="true" sqref="K3:K237 K303:K334" type="list">
      <formula1>'Auto Responses'!$J$27:$J$29</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outlinePr summaryBelow="0"/>
    <pageSetUpPr fitToPage="false"/>
  </sheetPr>
  <dimension ref="A1:AH65"/>
  <sheetViews>
    <sheetView showFormulas="false" showGridLines="true" showRowColHeaders="true" showZeros="false" rightToLeft="false" tabSelected="false" showOutlineSymbols="true" defaultGridColor="true" view="normal" topLeftCell="A2" colorId="64" zoomScale="95" zoomScaleNormal="95" zoomScalePageLayoutView="100" workbookViewId="0">
      <selection pane="topLeft" activeCell="B26" activeCellId="0" sqref="B26"/>
    </sheetView>
  </sheetViews>
  <sheetFormatPr defaultColWidth="8.796875" defaultRowHeight="15.75" customHeight="true" zeroHeight="true" outlineLevelRow="0" outlineLevelCol="0"/>
  <cols>
    <col collapsed="false" customWidth="true" hidden="false" outlineLevel="0" max="1" min="1" style="290" width="52.7"/>
    <col collapsed="false" customWidth="true" hidden="false" outlineLevel="0" max="2" min="2" style="290" width="19.6"/>
    <col collapsed="false" customWidth="true" hidden="false" outlineLevel="0" max="3" min="3" style="291" width="2.6"/>
    <col collapsed="false" customWidth="true" hidden="false" outlineLevel="0" max="4" min="4" style="290" width="78.1"/>
    <col collapsed="false" customWidth="true" hidden="false" outlineLevel="0" max="5" min="5" style="292" width="2.6"/>
    <col collapsed="false" customWidth="true" hidden="false" outlineLevel="0" max="6" min="6" style="290" width="101.7"/>
    <col collapsed="false" customWidth="true" hidden="false" outlineLevel="0" max="7" min="7" style="292" width="2.6"/>
    <col collapsed="false" customWidth="true" hidden="false" outlineLevel="0" max="8" min="8" style="290" width="73"/>
    <col collapsed="false" customWidth="true" hidden="false" outlineLevel="0" max="9" min="9" style="292" width="2.6"/>
    <col collapsed="false" customWidth="true" hidden="false" outlineLevel="0" max="10" min="10" style="290" width="14.6"/>
    <col collapsed="false" customWidth="true" hidden="false" outlineLevel="0" max="11" min="11" style="292" width="2.6"/>
    <col collapsed="false" customWidth="true" hidden="false" outlineLevel="0" max="12" min="12" style="290" width="14.6"/>
    <col collapsed="false" customWidth="true" hidden="false" outlineLevel="0" max="13" min="13" style="292" width="2.6"/>
    <col collapsed="false" customWidth="false" hidden="false" outlineLevel="0" max="14" min="14" style="290" width="8.79"/>
    <col collapsed="false" customWidth="true" hidden="false" outlineLevel="0" max="15" min="15" style="290" width="40.09"/>
    <col collapsed="false" customWidth="false" hidden="false" outlineLevel="0" max="17" min="16" style="290" width="8.79"/>
    <col collapsed="false" customWidth="true" hidden="true" outlineLevel="0" max="34" min="18" style="290" width="9.34"/>
    <col collapsed="false" customWidth="false" hidden="true" outlineLevel="0" max="16384" min="35" style="290" width="8.79"/>
  </cols>
  <sheetData>
    <row r="1" customFormat="false" ht="15.75" hidden="true" customHeight="true" outlineLevel="0" collapsed="false">
      <c r="A1" s="293" t="s">
        <v>1679</v>
      </c>
    </row>
    <row r="2" customFormat="false" ht="15.75" hidden="false" customHeight="false" outlineLevel="0" collapsed="false">
      <c r="A2" s="294" t="s">
        <v>1680</v>
      </c>
      <c r="B2" s="294" t="s">
        <v>1681</v>
      </c>
      <c r="C2" s="295"/>
      <c r="D2" s="294" t="s">
        <v>3</v>
      </c>
      <c r="E2" s="296"/>
      <c r="F2" s="294" t="s">
        <v>1682</v>
      </c>
      <c r="G2" s="296"/>
      <c r="H2" s="294" t="s">
        <v>1683</v>
      </c>
      <c r="I2" s="296"/>
      <c r="J2" s="297" t="s">
        <v>1684</v>
      </c>
      <c r="K2" s="298"/>
      <c r="L2" s="297" t="s">
        <v>1685</v>
      </c>
      <c r="M2" s="298"/>
      <c r="N2" s="297" t="s">
        <v>1686</v>
      </c>
      <c r="P2" s="299"/>
      <c r="Q2" s="294"/>
      <c r="R2" s="294"/>
      <c r="S2" s="294"/>
      <c r="T2" s="294"/>
      <c r="U2" s="294"/>
      <c r="V2" s="294"/>
      <c r="W2" s="294"/>
      <c r="X2" s="294"/>
      <c r="Y2" s="294"/>
      <c r="Z2" s="294"/>
      <c r="AA2" s="294"/>
      <c r="AB2" s="294"/>
      <c r="AC2" s="294"/>
      <c r="AD2" s="294"/>
      <c r="AE2" s="294"/>
      <c r="AF2" s="294"/>
      <c r="AG2" s="294"/>
      <c r="AH2" s="294"/>
    </row>
    <row r="3" customFormat="false" ht="15.75" hidden="false" customHeight="false" outlineLevel="0" collapsed="false">
      <c r="A3" s="300" t="s">
        <v>1687</v>
      </c>
      <c r="B3" s="300" t="s">
        <v>1688</v>
      </c>
      <c r="D3" s="300" t="s">
        <v>1689</v>
      </c>
      <c r="F3" s="300" t="s">
        <v>1690</v>
      </c>
      <c r="H3" s="301" t="s">
        <v>1691</v>
      </c>
      <c r="I3" s="302"/>
      <c r="J3" s="290" t="s">
        <v>31</v>
      </c>
      <c r="L3" s="290" t="s">
        <v>1692</v>
      </c>
      <c r="N3" s="303" t="s">
        <v>465</v>
      </c>
      <c r="O3" s="303" t="s">
        <v>1693</v>
      </c>
      <c r="P3" s="304" t="s">
        <v>1694</v>
      </c>
    </row>
    <row r="4" customFormat="false" ht="15.75" hidden="false" customHeight="false" outlineLevel="0" collapsed="false">
      <c r="A4" s="300" t="s">
        <v>1695</v>
      </c>
      <c r="B4" s="300" t="s">
        <v>1696</v>
      </c>
      <c r="D4" s="300" t="s">
        <v>1697</v>
      </c>
      <c r="F4" s="300" t="s">
        <v>1698</v>
      </c>
      <c r="H4" s="300" t="s">
        <v>1699</v>
      </c>
      <c r="I4" s="305"/>
      <c r="J4" s="290" t="s">
        <v>26</v>
      </c>
      <c r="L4" s="290" t="s">
        <v>1280</v>
      </c>
      <c r="N4" s="290" t="s">
        <v>1700</v>
      </c>
      <c r="O4" s="290" t="s">
        <v>1701</v>
      </c>
      <c r="P4" s="299" t="n">
        <f aca="false">COUNTIF('(backend scoring)'!$B:$B,'Auto Responses'!$N4)</f>
        <v>9</v>
      </c>
    </row>
    <row r="5" customFormat="false" ht="15.75" hidden="false" customHeight="false" outlineLevel="0" collapsed="false">
      <c r="A5" s="300" t="s">
        <v>1702</v>
      </c>
      <c r="B5" s="300" t="s">
        <v>1703</v>
      </c>
      <c r="D5" s="300" t="s">
        <v>1704</v>
      </c>
      <c r="F5" s="300" t="s">
        <v>1705</v>
      </c>
      <c r="H5" s="300" t="s">
        <v>1706</v>
      </c>
      <c r="I5" s="305"/>
      <c r="J5" s="290" t="s">
        <v>1707</v>
      </c>
      <c r="L5" s="290" t="s">
        <v>1708</v>
      </c>
      <c r="N5" s="290" t="s">
        <v>422</v>
      </c>
      <c r="O5" s="290" t="s">
        <v>1709</v>
      </c>
      <c r="P5" s="299" t="n">
        <f aca="false">COUNTIF('(backend scoring)'!$B:$B,'Auto Responses'!$N5)</f>
        <v>5</v>
      </c>
    </row>
    <row r="6" customFormat="false" ht="15.75" hidden="false" customHeight="false" outlineLevel="0" collapsed="false">
      <c r="A6" s="300" t="s">
        <v>1710</v>
      </c>
      <c r="B6" s="300" t="s">
        <v>1711</v>
      </c>
      <c r="D6" s="300" t="s">
        <v>1712</v>
      </c>
      <c r="F6" s="300" t="s">
        <v>1713</v>
      </c>
      <c r="L6" s="290" t="s">
        <v>1714</v>
      </c>
      <c r="N6" s="290" t="s">
        <v>1715</v>
      </c>
      <c r="O6" s="290" t="s">
        <v>1716</v>
      </c>
      <c r="P6" s="299" t="n">
        <f aca="false">COUNTIF('(backend scoring)'!$B:$B,'Auto Responses'!$N6)</f>
        <v>8</v>
      </c>
    </row>
    <row r="7" customFormat="false" ht="15.75" hidden="false" customHeight="false" outlineLevel="0" collapsed="false">
      <c r="A7" s="300" t="s">
        <v>1717</v>
      </c>
      <c r="B7" s="300" t="s">
        <v>1718</v>
      </c>
      <c r="D7" s="300" t="s">
        <v>1719</v>
      </c>
      <c r="F7" s="300" t="s">
        <v>1720</v>
      </c>
      <c r="J7" s="290" t="s">
        <v>1721</v>
      </c>
      <c r="L7" s="290" t="s">
        <v>1722</v>
      </c>
      <c r="N7" s="290" t="s">
        <v>423</v>
      </c>
      <c r="O7" s="290" t="s">
        <v>1723</v>
      </c>
      <c r="P7" s="299" t="n">
        <f aca="false">COUNTIF('(backend scoring)'!$B:$B,'Auto Responses'!$N7)</f>
        <v>7</v>
      </c>
    </row>
    <row r="8" customFormat="false" ht="15.75" hidden="false" customHeight="false" outlineLevel="0" collapsed="false">
      <c r="A8" s="300" t="s">
        <v>1724</v>
      </c>
      <c r="B8" s="300" t="s">
        <v>1725</v>
      </c>
      <c r="D8" s="290" t="s">
        <v>1726</v>
      </c>
      <c r="F8" s="290" t="s">
        <v>1727</v>
      </c>
      <c r="J8" s="290" t="s">
        <v>1728</v>
      </c>
      <c r="L8" s="290" t="s">
        <v>1729</v>
      </c>
      <c r="N8" s="290" t="s">
        <v>438</v>
      </c>
      <c r="O8" s="290" t="s">
        <v>1730</v>
      </c>
      <c r="P8" s="299" t="n">
        <f aca="false">COUNTIF('(backend scoring)'!$B:$B,'Auto Responses'!$N8)</f>
        <v>18</v>
      </c>
    </row>
    <row r="9" customFormat="false" ht="15.75" hidden="false" customHeight="false" outlineLevel="0" collapsed="false">
      <c r="A9" s="300" t="s">
        <v>1731</v>
      </c>
      <c r="B9" s="300" t="s">
        <v>1732</v>
      </c>
      <c r="D9" s="290" t="s">
        <v>1733</v>
      </c>
      <c r="L9" s="290" t="s">
        <v>1314</v>
      </c>
      <c r="N9" s="290" t="s">
        <v>424</v>
      </c>
      <c r="O9" s="290" t="s">
        <v>1734</v>
      </c>
      <c r="P9" s="299" t="n">
        <f aca="false">COUNTIF('(backend scoring)'!$B:$B,'Auto Responses'!$N9)</f>
        <v>5</v>
      </c>
    </row>
    <row r="10" customFormat="false" ht="15.75" hidden="false" customHeight="false" outlineLevel="0" collapsed="false">
      <c r="A10" s="300" t="s">
        <v>1735</v>
      </c>
      <c r="B10" s="300" t="s">
        <v>1736</v>
      </c>
      <c r="N10" s="290" t="s">
        <v>434</v>
      </c>
      <c r="O10" s="290" t="s">
        <v>1737</v>
      </c>
      <c r="P10" s="299" t="n">
        <f aca="false">COUNTIF('(backend scoring)'!$B:$B,'Auto Responses'!$N10)</f>
        <v>9</v>
      </c>
    </row>
    <row r="11" customFormat="false" ht="15.75" hidden="false" customHeight="false" outlineLevel="0" collapsed="false">
      <c r="A11" s="300" t="s">
        <v>1738</v>
      </c>
      <c r="B11" s="300" t="s">
        <v>1739</v>
      </c>
      <c r="J11" s="290" t="s">
        <v>538</v>
      </c>
      <c r="N11" s="290" t="s">
        <v>429</v>
      </c>
      <c r="O11" s="290" t="s">
        <v>1740</v>
      </c>
      <c r="P11" s="299" t="n">
        <f aca="false">COUNTIF('(backend scoring)'!$B:$B,'Auto Responses'!$N11)</f>
        <v>14</v>
      </c>
    </row>
    <row r="12" customFormat="false" ht="15.75" hidden="false" customHeight="false" outlineLevel="0" collapsed="false">
      <c r="A12" s="300" t="s">
        <v>1741</v>
      </c>
      <c r="B12" s="300" t="s">
        <v>1742</v>
      </c>
      <c r="F12" s="300"/>
      <c r="J12" s="290" t="s">
        <v>594</v>
      </c>
      <c r="N12" s="290" t="s">
        <v>427</v>
      </c>
      <c r="O12" s="290" t="s">
        <v>1743</v>
      </c>
      <c r="P12" s="299" t="n">
        <f aca="false">COUNTIF('(backend scoring)'!$B:$B,'Auto Responses'!$N12)</f>
        <v>18</v>
      </c>
    </row>
    <row r="13" customFormat="false" ht="15.75" hidden="false" customHeight="false" outlineLevel="0" collapsed="false">
      <c r="A13" s="300" t="s">
        <v>1744</v>
      </c>
      <c r="B13" s="300" t="s">
        <v>1745</v>
      </c>
      <c r="F13" s="300"/>
      <c r="J13" s="290" t="s">
        <v>547</v>
      </c>
      <c r="N13" s="290" t="s">
        <v>425</v>
      </c>
      <c r="O13" s="290" t="s">
        <v>1746</v>
      </c>
      <c r="P13" s="299" t="n">
        <f aca="false">COUNTIF('(backend scoring)'!$B:$B,'Auto Responses'!$N13)</f>
        <v>16</v>
      </c>
    </row>
    <row r="14" customFormat="false" ht="15.75" hidden="false" customHeight="false" outlineLevel="0" collapsed="false">
      <c r="A14" s="300" t="s">
        <v>564</v>
      </c>
      <c r="B14" s="300" t="s">
        <v>1747</v>
      </c>
      <c r="J14" s="290" t="s">
        <v>1748</v>
      </c>
      <c r="N14" s="290" t="s">
        <v>428</v>
      </c>
      <c r="O14" s="290" t="s">
        <v>1749</v>
      </c>
      <c r="P14" s="299" t="n">
        <f aca="false">COUNTIF('(backend scoring)'!$B:$B,'Auto Responses'!$N14)</f>
        <v>23</v>
      </c>
    </row>
    <row r="15" customFormat="false" ht="15.75" hidden="false" customHeight="false" outlineLevel="0" collapsed="false">
      <c r="A15" s="300" t="s">
        <v>563</v>
      </c>
      <c r="B15" s="300" t="s">
        <v>1750</v>
      </c>
      <c r="N15" s="290" t="s">
        <v>430</v>
      </c>
      <c r="O15" s="290" t="s">
        <v>1751</v>
      </c>
      <c r="P15" s="299" t="n">
        <f aca="false">COUNTIF('(backend scoring)'!$B:$B,'Auto Responses'!$N15)</f>
        <v>16</v>
      </c>
    </row>
    <row r="16" customFormat="false" ht="15.75" hidden="false" customHeight="false" outlineLevel="0" collapsed="false">
      <c r="A16" s="300" t="s">
        <v>1752</v>
      </c>
      <c r="B16" s="300" t="s">
        <v>1753</v>
      </c>
      <c r="N16" s="290" t="s">
        <v>431</v>
      </c>
      <c r="O16" s="290" t="s">
        <v>1754</v>
      </c>
      <c r="P16" s="299" t="n">
        <f aca="false">COUNTIF('(backend scoring)'!$B:$B,'Auto Responses'!$N16)</f>
        <v>11</v>
      </c>
    </row>
    <row r="17" customFormat="false" ht="15.75" hidden="false" customHeight="false" outlineLevel="0" collapsed="false">
      <c r="A17" s="300" t="s">
        <v>1755</v>
      </c>
      <c r="B17" s="300" t="s">
        <v>1756</v>
      </c>
      <c r="J17" s="290" t="s">
        <v>1757</v>
      </c>
      <c r="N17" s="290" t="s">
        <v>426</v>
      </c>
      <c r="O17" s="290" t="s">
        <v>1758</v>
      </c>
      <c r="P17" s="299" t="n">
        <f aca="false">COUNTIF('(backend scoring)'!$B:$B,'Auto Responses'!$N17)</f>
        <v>15</v>
      </c>
    </row>
    <row r="18" customFormat="false" ht="15.75" hidden="false" customHeight="false" outlineLevel="0" collapsed="false">
      <c r="A18" s="300" t="s">
        <v>1759</v>
      </c>
      <c r="B18" s="300" t="s">
        <v>1760</v>
      </c>
      <c r="J18" s="290" t="s">
        <v>1761</v>
      </c>
      <c r="N18" s="290" t="s">
        <v>432</v>
      </c>
      <c r="O18" s="290" t="s">
        <v>1762</v>
      </c>
      <c r="P18" s="299" t="n">
        <f aca="false">COUNTIF('(backend scoring)'!$B:$B,'Auto Responses'!$N18)</f>
        <v>4</v>
      </c>
    </row>
    <row r="19" customFormat="false" ht="15.75" hidden="false" customHeight="false" outlineLevel="0" collapsed="false">
      <c r="A19" s="300" t="s">
        <v>1763</v>
      </c>
      <c r="B19" s="300" t="s">
        <v>1764</v>
      </c>
      <c r="J19" s="290" t="s">
        <v>1765</v>
      </c>
      <c r="N19" s="290" t="s">
        <v>433</v>
      </c>
      <c r="O19" s="290" t="s">
        <v>1766</v>
      </c>
      <c r="P19" s="299" t="n">
        <f aca="false">COUNTIF('(backend scoring)'!$B:$B,'Auto Responses'!$N19)</f>
        <v>6</v>
      </c>
    </row>
    <row r="20" customFormat="false" ht="15.75" hidden="false" customHeight="false" outlineLevel="0" collapsed="false">
      <c r="A20" s="300" t="s">
        <v>1767</v>
      </c>
      <c r="B20" s="300" t="s">
        <v>1768</v>
      </c>
      <c r="J20" s="290" t="s">
        <v>1769</v>
      </c>
      <c r="N20" s="290" t="s">
        <v>435</v>
      </c>
      <c r="O20" s="290" t="s">
        <v>1770</v>
      </c>
      <c r="P20" s="299" t="n">
        <f aca="false">COUNTIF('(backend scoring)'!$B:$B,'Auto Responses'!$N20)</f>
        <v>29</v>
      </c>
    </row>
    <row r="21" customFormat="false" ht="15.75" hidden="false" customHeight="false" outlineLevel="0" collapsed="false">
      <c r="A21" s="300" t="s">
        <v>1771</v>
      </c>
      <c r="B21" s="300" t="s">
        <v>1772</v>
      </c>
      <c r="J21" s="290" t="s">
        <v>1773</v>
      </c>
      <c r="N21" s="290" t="s">
        <v>436</v>
      </c>
      <c r="O21" s="290" t="s">
        <v>1774</v>
      </c>
      <c r="P21" s="299" t="n">
        <f aca="false">COUNTIF('(backend scoring)'!$B:$B,'Auto Responses'!$N21)</f>
        <v>12</v>
      </c>
    </row>
    <row r="22" customFormat="false" ht="15.75" hidden="false" customHeight="false" outlineLevel="0" collapsed="false">
      <c r="A22" s="300" t="s">
        <v>1775</v>
      </c>
      <c r="B22" s="300" t="s">
        <v>1776</v>
      </c>
      <c r="J22" s="290" t="s">
        <v>1777</v>
      </c>
      <c r="N22" s="290" t="s">
        <v>437</v>
      </c>
      <c r="O22" s="290" t="s">
        <v>1778</v>
      </c>
      <c r="P22" s="299" t="n">
        <f aca="false">COUNTIF('(backend scoring)'!$B:$B,'Auto Responses'!$N22)</f>
        <v>10</v>
      </c>
    </row>
    <row r="23" customFormat="false" ht="15.75" hidden="false" customHeight="false" outlineLevel="0" collapsed="false">
      <c r="A23" s="300" t="s">
        <v>1779</v>
      </c>
      <c r="B23" s="300" t="s">
        <v>1780</v>
      </c>
      <c r="J23" s="290" t="s">
        <v>1781</v>
      </c>
      <c r="N23" s="290" t="s">
        <v>467</v>
      </c>
      <c r="O23" s="290" t="s">
        <v>1782</v>
      </c>
      <c r="P23" s="299" t="n">
        <f aca="false">COUNTIF('(backend scoring)'!$B:$B,'Auto Responses'!$N23)</f>
        <v>5</v>
      </c>
    </row>
    <row r="24" customFormat="false" ht="15.75" hidden="false" customHeight="false" outlineLevel="0" collapsed="false">
      <c r="A24" s="300" t="s">
        <v>1783</v>
      </c>
      <c r="B24" s="300" t="s">
        <v>1784</v>
      </c>
      <c r="N24" s="290" t="s">
        <v>468</v>
      </c>
      <c r="O24" s="290" t="s">
        <v>1785</v>
      </c>
      <c r="P24" s="299" t="n">
        <f aca="false">COUNTIF('(backend scoring)'!$B:$B,'Auto Responses'!$N24)</f>
        <v>4</v>
      </c>
    </row>
    <row r="25" customFormat="false" ht="15.75" hidden="false" customHeight="false" outlineLevel="0" collapsed="false">
      <c r="A25" s="300" t="s">
        <v>1786</v>
      </c>
      <c r="B25" s="300" t="s">
        <v>1787</v>
      </c>
      <c r="N25" s="290" t="s">
        <v>469</v>
      </c>
      <c r="O25" s="290" t="s">
        <v>1788</v>
      </c>
      <c r="P25" s="299" t="n">
        <f aca="false">COUNTIF('(backend scoring)'!$B:$B,'Auto Responses'!$N25)</f>
        <v>3</v>
      </c>
    </row>
    <row r="26" customFormat="false" ht="15.75" hidden="false" customHeight="false" outlineLevel="0" collapsed="false">
      <c r="A26" s="300" t="s">
        <v>1789</v>
      </c>
      <c r="B26" s="300" t="s">
        <v>1790</v>
      </c>
      <c r="N26" s="290" t="s">
        <v>470</v>
      </c>
      <c r="O26" s="290" t="s">
        <v>1791</v>
      </c>
      <c r="P26" s="299" t="n">
        <f aca="false">COUNTIF('(backend scoring)'!$B:$B,'Auto Responses'!$N26)</f>
        <v>2</v>
      </c>
    </row>
    <row r="27" customFormat="false" ht="15.75" hidden="false" customHeight="true" outlineLevel="0" collapsed="false">
      <c r="A27" s="290" t="s">
        <v>1792</v>
      </c>
      <c r="J27" s="290" t="s">
        <v>1384</v>
      </c>
      <c r="N27" s="290" t="s">
        <v>471</v>
      </c>
      <c r="O27" s="290" t="s">
        <v>1793</v>
      </c>
      <c r="P27" s="299" t="n">
        <f aca="false">COUNTIF('(backend scoring)'!$B:$B,'Auto Responses'!$N27)</f>
        <v>2</v>
      </c>
    </row>
    <row r="28" customFormat="false" ht="15.75" hidden="false" customHeight="true" outlineLevel="0" collapsed="false">
      <c r="A28" s="300" t="s">
        <v>1794</v>
      </c>
      <c r="J28" s="290" t="s">
        <v>16</v>
      </c>
      <c r="N28" s="290" t="s">
        <v>472</v>
      </c>
      <c r="O28" s="290" t="s">
        <v>1795</v>
      </c>
      <c r="P28" s="299" t="n">
        <f aca="false">COUNTIF('(backend scoring)'!$B:$B,'Auto Responses'!$N28)</f>
        <v>8</v>
      </c>
    </row>
    <row r="29" customFormat="false" ht="15.75" hidden="false" customHeight="true" outlineLevel="0" collapsed="false">
      <c r="A29" s="300"/>
      <c r="N29" s="290" t="s">
        <v>473</v>
      </c>
      <c r="O29" s="290" t="s">
        <v>1796</v>
      </c>
      <c r="P29" s="299" t="n">
        <f aca="false">COUNTIF('(backend scoring)'!$B:$B,'Auto Responses'!$N29)</f>
        <v>13</v>
      </c>
    </row>
    <row r="30" customFormat="false" ht="15.75" hidden="false" customHeight="true" outlineLevel="0" collapsed="false">
      <c r="A30" s="300"/>
      <c r="N30" s="290" t="s">
        <v>474</v>
      </c>
      <c r="O30" s="290" t="s">
        <v>1797</v>
      </c>
      <c r="P30" s="299" t="n">
        <f aca="false">COUNTIF('(backend scoring)'!$B:$B,'Auto Responses'!$N30)</f>
        <v>5</v>
      </c>
    </row>
    <row r="31" customFormat="false" ht="15.75" hidden="false" customHeight="true" outlineLevel="0" collapsed="false">
      <c r="A31" s="300"/>
      <c r="N31" s="290" t="s">
        <v>475</v>
      </c>
      <c r="O31" s="290" t="s">
        <v>1798</v>
      </c>
      <c r="P31" s="299" t="n">
        <f aca="false">COUNTIF('(backend scoring)'!$B:$B,'Auto Responses'!$N31)</f>
        <v>15</v>
      </c>
      <c r="T31" s="300"/>
    </row>
    <row r="32" customFormat="false" ht="15.75" hidden="false" customHeight="true" outlineLevel="0" collapsed="false">
      <c r="A32" s="300" t="str">
        <f aca="false">LEFT($A$3,21)</f>
        <v>Based on the response</v>
      </c>
      <c r="N32" s="290" t="s">
        <v>476</v>
      </c>
      <c r="O32" s="290" t="s">
        <v>1799</v>
      </c>
      <c r="P32" s="299" t="n">
        <f aca="false">COUNTIF('(backend scoring)'!$B:$B,'Auto Responses'!$N32)</f>
        <v>8</v>
      </c>
    </row>
    <row r="33" customFormat="false" ht="15.75" hidden="false" customHeight="true" outlineLevel="0" collapsed="false">
      <c r="A33" s="290" t="s">
        <v>1800</v>
      </c>
      <c r="N33" s="290" t="s">
        <v>1801</v>
      </c>
      <c r="O33" s="290" t="s">
        <v>1802</v>
      </c>
      <c r="P33" s="299" t="n">
        <f aca="false">COUNTIF('(backend scoring)'!$B:$B,'Auto Responses'!$N33)</f>
        <v>2</v>
      </c>
    </row>
    <row r="34" customFormat="false" ht="15.75" hidden="false" customHeight="true" outlineLevel="0" collapsed="false">
      <c r="A34" s="300"/>
      <c r="N34" s="290" t="s">
        <v>1803</v>
      </c>
      <c r="O34" s="290" t="s">
        <v>1804</v>
      </c>
      <c r="P34" s="299" t="n">
        <f aca="false">COUNTIF('(backend scoring)'!$B:$B,'Auto Responses'!$N34)</f>
        <v>5</v>
      </c>
    </row>
    <row r="35" customFormat="false" ht="15.75" hidden="false" customHeight="true" outlineLevel="0" collapsed="false">
      <c r="A35" s="300"/>
      <c r="N35" s="290" t="s">
        <v>1805</v>
      </c>
      <c r="O35" s="290" t="s">
        <v>1806</v>
      </c>
      <c r="P35" s="299" t="n">
        <f aca="false">COUNTIF('(backend scoring)'!$B:$B,'Auto Responses'!$N35)</f>
        <v>5</v>
      </c>
    </row>
    <row r="36" customFormat="false" ht="15.75" hidden="false" customHeight="true" outlineLevel="0" collapsed="false">
      <c r="A36" s="300" t="s">
        <v>1807</v>
      </c>
      <c r="N36" s="290" t="s">
        <v>1808</v>
      </c>
      <c r="O36" s="290" t="s">
        <v>1809</v>
      </c>
      <c r="P36" s="299" t="n">
        <f aca="false">COUNTIF('(backend scoring)'!$B:$B,'Auto Responses'!$N36)</f>
        <v>5</v>
      </c>
    </row>
    <row r="37" customFormat="false" ht="15.75" hidden="false" customHeight="true" outlineLevel="0" collapsed="false">
      <c r="A37" s="300"/>
      <c r="N37" s="290" t="s">
        <v>1810</v>
      </c>
      <c r="O37" s="290" t="s">
        <v>1811</v>
      </c>
      <c r="P37" s="299" t="n">
        <f aca="false">COUNTIF('(backend scoring)'!$B:$B,'Auto Responses'!$N37)</f>
        <v>8</v>
      </c>
    </row>
    <row r="38" customFormat="false" ht="15.75" hidden="false" customHeight="true" outlineLevel="0" collapsed="false">
      <c r="A38" s="300"/>
      <c r="N38" s="290" t="s">
        <v>1812</v>
      </c>
      <c r="O38" s="290" t="s">
        <v>1813</v>
      </c>
      <c r="P38" s="299" t="n">
        <f aca="false">COUNTIF('(backend scoring)'!$B:$B,'Auto Responses'!$N38)</f>
        <v>6</v>
      </c>
    </row>
    <row r="39" customFormat="false" ht="15.75" hidden="false" customHeight="true" outlineLevel="0" collapsed="false">
      <c r="A39" s="91" t="s">
        <v>338</v>
      </c>
    </row>
    <row r="40" customFormat="false" ht="15.75" hidden="true" customHeight="true" outlineLevel="0" collapsed="false">
      <c r="A40" s="300"/>
    </row>
    <row r="41" customFormat="false" ht="15.75" hidden="true" customHeight="true" outlineLevel="0" collapsed="false">
      <c r="A41" s="300"/>
    </row>
    <row r="42" customFormat="false" ht="15.75" hidden="true" customHeight="true" outlineLevel="0" collapsed="false">
      <c r="A42" s="301"/>
    </row>
    <row r="43" customFormat="false" ht="15.75" hidden="true" customHeight="true" outlineLevel="0" collapsed="false">
      <c r="A43" s="300"/>
    </row>
    <row r="44" customFormat="false" ht="15.75" hidden="true" customHeight="true" outlineLevel="0" collapsed="false">
      <c r="A44" s="300"/>
    </row>
    <row r="45" customFormat="false" ht="15.75" hidden="true" customHeight="true" outlineLevel="0" collapsed="false">
      <c r="A45" s="300"/>
    </row>
    <row r="51" customFormat="false" ht="15.75" hidden="true" customHeight="true" outlineLevel="0" collapsed="false">
      <c r="D51" s="306"/>
    </row>
    <row r="52" customFormat="false" ht="15.75" hidden="true" customHeight="true" outlineLevel="0" collapsed="false">
      <c r="D52" s="306"/>
    </row>
    <row r="53" customFormat="false" ht="15.75" hidden="true" customHeight="true" outlineLevel="0" collapsed="false">
      <c r="D53" s="306"/>
    </row>
    <row r="54" customFormat="false" ht="15.75" hidden="true" customHeight="true" outlineLevel="0" collapsed="false">
      <c r="D54" s="306"/>
    </row>
    <row r="55" customFormat="false" ht="15.75" hidden="true" customHeight="true" outlineLevel="0" collapsed="false">
      <c r="D55" s="306"/>
    </row>
    <row r="56" customFormat="false" ht="15.75" hidden="true" customHeight="true" outlineLevel="0" collapsed="false">
      <c r="D56" s="306"/>
    </row>
    <row r="57" customFormat="false" ht="15.75" hidden="true" customHeight="true" outlineLevel="0" collapsed="false">
      <c r="D57" s="306"/>
    </row>
    <row r="58" customFormat="false" ht="15.75" hidden="true" customHeight="true" outlineLevel="0" collapsed="false">
      <c r="D58" s="306"/>
    </row>
    <row r="59" customFormat="false" ht="15.75" hidden="true" customHeight="true" outlineLevel="0" collapsed="false">
      <c r="D59" s="306"/>
    </row>
    <row r="60" customFormat="false" ht="15.75" hidden="true" customHeight="true" outlineLevel="0" collapsed="false">
      <c r="D60" s="306"/>
    </row>
    <row r="61" customFormat="false" ht="15.75" hidden="true" customHeight="true" outlineLevel="0" collapsed="false">
      <c r="D61" s="306"/>
    </row>
    <row r="62" customFormat="false" ht="15.75" hidden="true" customHeight="true" outlineLevel="0" collapsed="false">
      <c r="D62" s="306"/>
    </row>
    <row r="63" customFormat="false" ht="15.75" hidden="true" customHeight="true" outlineLevel="0" collapsed="false">
      <c r="D63" s="306"/>
    </row>
    <row r="64" customFormat="false" ht="15.75" hidden="true" customHeight="true" outlineLevel="0" collapsed="false">
      <c r="D64" s="306"/>
    </row>
    <row r="65" customFormat="false" ht="15.75" hidden="true" customHeight="true" outlineLevel="0" collapsed="false">
      <c r="D65" s="306"/>
    </row>
  </sheetData>
  <conditionalFormatting sqref="D8">
    <cfRule type="expression" priority="2" aboveAverage="0" equalAverage="0" bottom="0" percent="0" rank="0" text="" dxfId="8">
      <formula>ISNUMBER(FIND("*",#ref!))</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963"/>
  <sheetViews>
    <sheetView showFormulas="false" showGridLines="true" showRowColHeaders="true" showZeros="false" rightToLeft="false" tabSelected="false" showOutlineSymbols="true" defaultGridColor="true" view="normal" topLeftCell="A1" colorId="64" zoomScale="95" zoomScaleNormal="95" zoomScalePageLayoutView="100" workbookViewId="0">
      <pane xSplit="1" ySplit="2" topLeftCell="C307" activePane="bottomRight" state="frozen"/>
      <selection pane="topLeft" activeCell="A1" activeCellId="0" sqref="A1"/>
      <selection pane="topRight" activeCell="C1" activeCellId="0" sqref="C1"/>
      <selection pane="bottomLeft" activeCell="A307" activeCellId="0" sqref="A307"/>
      <selection pane="bottomRight" activeCell="O314" activeCellId="0" sqref="O314"/>
    </sheetView>
  </sheetViews>
  <sheetFormatPr defaultColWidth="8.796875" defaultRowHeight="15" customHeight="true" zeroHeight="true" outlineLevelRow="0" outlineLevelCol="0"/>
  <cols>
    <col collapsed="false" customWidth="false" hidden="false" outlineLevel="0" max="1" min="1" style="307" width="8.79"/>
    <col collapsed="false" customWidth="true" hidden="true" outlineLevel="0" max="2" min="2" style="307" width="9.34"/>
    <col collapsed="false" customWidth="true" hidden="false" outlineLevel="0" max="3" min="3" style="307" width="35.7"/>
    <col collapsed="false" customWidth="true" hidden="false" outlineLevel="0" max="4" min="4" style="307" width="15.4"/>
    <col collapsed="false" customWidth="true" hidden="false" outlineLevel="0" max="6" min="5" style="307" width="12.7"/>
    <col collapsed="false" customWidth="false" hidden="false" outlineLevel="0" max="8" min="7" style="307" width="8.79"/>
    <col collapsed="false" customWidth="true" hidden="false" outlineLevel="0" max="10" min="9" style="307" width="10.9"/>
    <col collapsed="false" customWidth="true" hidden="false" outlineLevel="0" max="11" min="11" style="307" width="11.2"/>
    <col collapsed="false" customWidth="true" hidden="false" outlineLevel="0" max="12" min="12" style="283" width="12"/>
    <col collapsed="false" customWidth="true" hidden="false" outlineLevel="0" max="14" min="13" style="77" width="13"/>
    <col collapsed="false" customWidth="false" hidden="false" outlineLevel="0" max="16" min="15" style="77" width="8.79"/>
    <col collapsed="false" customWidth="false" hidden="false" outlineLevel="0" max="22" min="17" style="283" width="8.79"/>
    <col collapsed="false" customWidth="false" hidden="false" outlineLevel="0" max="23" min="23" style="77" width="8.79"/>
    <col collapsed="false" customWidth="false" hidden="true" outlineLevel="0" max="16384" min="24" style="77" width="8.79"/>
  </cols>
  <sheetData>
    <row r="1" customFormat="false" ht="15" hidden="true" customHeight="false" outlineLevel="0" collapsed="false">
      <c r="A1" s="308" t="s">
        <v>1814</v>
      </c>
    </row>
    <row r="2" customFormat="false" ht="64.9" hidden="false" customHeight="false" outlineLevel="0" collapsed="false">
      <c r="A2" s="309" t="s">
        <v>497</v>
      </c>
      <c r="B2" s="309" t="s">
        <v>1815</v>
      </c>
      <c r="C2" s="309" t="s">
        <v>447</v>
      </c>
      <c r="D2" s="309" t="s">
        <v>506</v>
      </c>
      <c r="E2" s="309" t="s">
        <v>507</v>
      </c>
      <c r="F2" s="309" t="s">
        <v>1816</v>
      </c>
      <c r="G2" s="309" t="s">
        <v>449</v>
      </c>
      <c r="H2" s="309" t="s">
        <v>450</v>
      </c>
      <c r="I2" s="309" t="s">
        <v>451</v>
      </c>
      <c r="J2" s="309" t="s">
        <v>452</v>
      </c>
      <c r="K2" s="309" t="s">
        <v>1817</v>
      </c>
      <c r="L2" s="309" t="s">
        <v>1818</v>
      </c>
      <c r="M2" s="309" t="s">
        <v>1819</v>
      </c>
      <c r="N2" s="309" t="s">
        <v>1820</v>
      </c>
      <c r="O2" s="309" t="s">
        <v>1821</v>
      </c>
      <c r="P2" s="309" t="s">
        <v>1822</v>
      </c>
      <c r="Q2" s="310" t="s">
        <v>1823</v>
      </c>
      <c r="R2" s="310" t="s">
        <v>1824</v>
      </c>
      <c r="S2" s="310" t="s">
        <v>1825</v>
      </c>
      <c r="T2" s="310" t="s">
        <v>1826</v>
      </c>
      <c r="U2" s="310" t="s">
        <v>1827</v>
      </c>
      <c r="V2" s="310" t="s">
        <v>1828</v>
      </c>
    </row>
    <row r="3" customFormat="false" ht="15" hidden="false" customHeight="false" outlineLevel="0" collapsed="false">
      <c r="A3" s="311" t="str">
        <f aca="false">Questions!$A3</f>
        <v>GNRL-01</v>
      </c>
      <c r="B3" s="311" t="str">
        <f aca="false">LEFT(A3,4)</f>
        <v>GNRL</v>
      </c>
      <c r="C3" s="311" t="str">
        <f aca="false">VLOOKUP($A3,Questions!$A$3:$L$333,2,0)&amp;""</f>
        <v>Solution Provider Name</v>
      </c>
      <c r="D3" s="311" t="str">
        <f aca="false">VLOOKUP($A3,Questions!$A$3:$L$333,11,0)&amp;""</f>
        <v>NA</v>
      </c>
      <c r="E3" s="311" t="str">
        <f aca="false">VLOOKUP($A3,Questions!$A$3:$L$333,12,0)&amp;""</f>
        <v>Not Scored</v>
      </c>
      <c r="F3" s="311" t="str">
        <f aca="false">VLOOKUP($A3,'Institution Evaluation'!$A$56:$K$346,3,0)&amp;""</f>
        <v>QGIS.org</v>
      </c>
      <c r="G3" s="311" t="str">
        <f aca="false">VLOOKUP($A3,'Institution Evaluation'!$A$56:$K$346,7,0)&amp;""</f>
        <v>Not scored</v>
      </c>
      <c r="H3" s="311" t="str">
        <f aca="false">VLOOKUP($A3,'Institution Evaluation'!$A$56:$K$346,8,0)&amp;""</f>
        <v/>
      </c>
      <c r="I3" s="311" t="str">
        <f aca="false">VLOOKUP($A3,'Institution Evaluation'!$A$56:$K$346,9,0)&amp;""</f>
        <v/>
      </c>
      <c r="J3" s="311" t="str">
        <f aca="false">VLOOKUP($A3,'Institution Evaluation'!$A$56:$K$346,10,0)&amp;""</f>
        <v/>
      </c>
      <c r="K3" s="311" t="n">
        <f aca="false">IF($I3="Critical Importance",20,IF($I3="Minor Importance",5,10))</f>
        <v>10</v>
      </c>
      <c r="L3" s="283" t="str">
        <f aca="false">IF($E3="Not Scored", "N/A",IF(AND($D3='Auto Responses'!$J$27,$H3=""),"N/A",IF(AND($D3='Auto Responses'!$J$27,$H3='Auto Responses'!$J$7),1,IF(AND($D3='Auto Responses'!$J$27,$H3='Auto Responses'!$J$8),0,IF(OR($F3=$G3,$H3='Auto Responses'!$J$7),1,0)))))</f>
        <v>N/A</v>
      </c>
      <c r="M3" s="311" t="str">
        <f aca="false">VLOOKUP($A3,'Institution Evaluation'!$A$56:$K$346,10,0)&amp;""</f>
        <v/>
      </c>
      <c r="N3" s="311" t="n">
        <f aca="false">IF($J3="Critical Importance",1,IF(AND($J3="",$I3="Critical Importance"),1,0))</f>
        <v>0</v>
      </c>
      <c r="O3" s="283" t="str">
        <f aca="false">IF($E3="Not Scored","N/A",IF($J3="",$K3,IF($J3="Minor Importance",5,IF($J3="Standard Importance",10,IF($J3="Critical Importance",20,0)))))</f>
        <v>N/A</v>
      </c>
      <c r="P3" s="283" t="str">
        <f aca="false">IF(OR($O3="N/A",$L3="N/A"),"N/A",$O3*$L3)</f>
        <v>N/A</v>
      </c>
      <c r="Q3" s="283" t="n">
        <f aca="false">IF(M3="TRUE",1,0)</f>
        <v>0</v>
      </c>
      <c r="R3" s="283" t="n">
        <f aca="false">Q3</f>
        <v>0</v>
      </c>
      <c r="S3" s="283" t="n">
        <f aca="false">IF(Q3=0,0,R3)</f>
        <v>0</v>
      </c>
      <c r="T3" s="283" t="n">
        <f aca="false">IF(N3=1,1,0)</f>
        <v>0</v>
      </c>
      <c r="U3" s="283" t="n">
        <f aca="false">T3</f>
        <v>0</v>
      </c>
      <c r="V3" s="283" t="n">
        <f aca="false">IF(T3=0,0,U3)</f>
        <v>0</v>
      </c>
    </row>
    <row r="4" customFormat="false" ht="15" hidden="false" customHeight="false" outlineLevel="0" collapsed="false">
      <c r="A4" s="311" t="str">
        <f aca="false">Questions!$A4</f>
        <v>GNRL-02</v>
      </c>
      <c r="B4" s="311" t="str">
        <f aca="false">LEFT(A4,4)</f>
        <v>GNRL</v>
      </c>
      <c r="C4" s="311" t="str">
        <f aca="false">VLOOKUP($A4,Questions!$A$3:$L$333,2,0)&amp;""</f>
        <v>Solution Name</v>
      </c>
      <c r="D4" s="311" t="str">
        <f aca="false">VLOOKUP($A4,Questions!$A$3:$L$333,11,0)&amp;""</f>
        <v>NA</v>
      </c>
      <c r="E4" s="311" t="str">
        <f aca="false">VLOOKUP($A4,Questions!$A$3:$L$333,12,0)&amp;""</f>
        <v>Not Scored</v>
      </c>
      <c r="F4" s="311" t="str">
        <f aca="false">VLOOKUP($A4,'Institution Evaluation'!$A$56:$K$346,3,0)&amp;""</f>
        <v>QGIS.org</v>
      </c>
      <c r="G4" s="311" t="str">
        <f aca="false">VLOOKUP($A4,'Institution Evaluation'!$A$56:$K$346,7,0)&amp;""</f>
        <v>Not scored</v>
      </c>
      <c r="H4" s="311" t="str">
        <f aca="false">VLOOKUP($A4,'Institution Evaluation'!$A$56:$K$346,8,0)&amp;""</f>
        <v/>
      </c>
      <c r="I4" s="311" t="str">
        <f aca="false">VLOOKUP($A4,'Institution Evaluation'!$A$56:$K$346,9,0)&amp;""</f>
        <v/>
      </c>
      <c r="J4" s="311" t="str">
        <f aca="false">VLOOKUP($A4,'Institution Evaluation'!$A$56:$K$346,10,0)&amp;""</f>
        <v/>
      </c>
      <c r="K4" s="311" t="n">
        <f aca="false">IF($I4="Critical Importance",20,IF($I4="Minor Importance",5,10))</f>
        <v>10</v>
      </c>
      <c r="L4" s="283" t="str">
        <f aca="false">IF($E4="Not Scored", "N/A",IF(AND($D4='Auto Responses'!$J$27,$H4=""),"N/A",IF(AND($D4='Auto Responses'!$J$27,$H4='Auto Responses'!$J$7),1,IF(AND($D4='Auto Responses'!$J$27,$H4='Auto Responses'!$J$8),0,IF(OR($F4=$G4,$H4='Auto Responses'!$J$7),1,0)))))</f>
        <v>N/A</v>
      </c>
      <c r="M4" s="311" t="str">
        <f aca="false">VLOOKUP($A4,'Institution Evaluation'!$A$56:$K$346,10,0)&amp;""</f>
        <v/>
      </c>
      <c r="N4" s="311" t="n">
        <f aca="false">IF($J4="Critical Importance",1,IF(AND($J4="",$I4="Critical Importance"),1,0))</f>
        <v>0</v>
      </c>
      <c r="O4" s="283" t="str">
        <f aca="false">IF($E4="Not Scored","N/A",IF($J4="",$K4,IF($J4="Minor Importance",5,IF($J4="Standard Importance",10,IF($J4="Critical Importance",20,0)))))</f>
        <v>N/A</v>
      </c>
      <c r="P4" s="283" t="str">
        <f aca="false">IF(OR($O4="N/A",$L4="N/A"),"N/A",$O4*$L4)</f>
        <v>N/A</v>
      </c>
      <c r="Q4" s="283" t="n">
        <f aca="false">IF(M4="TRUE",1,0)</f>
        <v>0</v>
      </c>
      <c r="R4" s="283" t="n">
        <f aca="false">R3+Q4</f>
        <v>0</v>
      </c>
      <c r="S4" s="283" t="n">
        <f aca="false">IF(Q4=0,0,R4)</f>
        <v>0</v>
      </c>
      <c r="T4" s="283" t="n">
        <f aca="false">IF(N4=1,1,0)</f>
        <v>0</v>
      </c>
      <c r="U4" s="283" t="n">
        <f aca="false">U3+T4</f>
        <v>0</v>
      </c>
      <c r="V4" s="283" t="n">
        <f aca="false">IF(T4=0,0,U4)</f>
        <v>0</v>
      </c>
    </row>
    <row r="5" customFormat="false" ht="15" hidden="false" customHeight="false" outlineLevel="0" collapsed="false">
      <c r="A5" s="311" t="str">
        <f aca="false">Questions!$A5</f>
        <v>GNRL-03</v>
      </c>
      <c r="B5" s="311" t="str">
        <f aca="false">LEFT(A5,4)</f>
        <v>GNRL</v>
      </c>
      <c r="C5" s="311" t="str">
        <f aca="false">VLOOKUP($A5,Questions!$A$3:$L$333,2,0)&amp;""</f>
        <v>Solution Description</v>
      </c>
      <c r="D5" s="311" t="str">
        <f aca="false">VLOOKUP($A5,Questions!$A$3:$L$333,11,0)&amp;""</f>
        <v>NA</v>
      </c>
      <c r="E5" s="311" t="str">
        <f aca="false">VLOOKUP($A5,Questions!$A$3:$L$333,12,0)&amp;""</f>
        <v>Not Scored</v>
      </c>
      <c r="F5" s="311" t="str">
        <f aca="false">VLOOKUP($A5,'Institution Evaluation'!$A$56:$K$346,3,0)&amp;""</f>
        <v>QGIS is a free and open source Geographic information system, running on Windows, MacOS, Linux and with solution for mobile OS.</v>
      </c>
      <c r="G5" s="311" t="str">
        <f aca="false">VLOOKUP($A5,'Institution Evaluation'!$A$56:$K$346,7,0)&amp;""</f>
        <v>Not scored</v>
      </c>
      <c r="H5" s="311" t="str">
        <f aca="false">VLOOKUP($A5,'Institution Evaluation'!$A$56:$K$346,8,0)&amp;""</f>
        <v/>
      </c>
      <c r="I5" s="311" t="str">
        <f aca="false">VLOOKUP($A5,'Institution Evaluation'!$A$56:$K$346,9,0)&amp;""</f>
        <v/>
      </c>
      <c r="J5" s="311" t="str">
        <f aca="false">VLOOKUP($A5,'Institution Evaluation'!$A$56:$K$346,10,0)&amp;""</f>
        <v/>
      </c>
      <c r="K5" s="311" t="n">
        <f aca="false">IF($I5="Critical Importance",20,IF($I5="Minor Importance",5,10))</f>
        <v>10</v>
      </c>
      <c r="L5" s="283" t="str">
        <f aca="false">IF($E5="Not Scored", "N/A",IF(AND($D5='Auto Responses'!$J$27,$H5=""),"N/A",IF(AND($D5='Auto Responses'!$J$27,$H5='Auto Responses'!$J$7),1,IF(AND($D5='Auto Responses'!$J$27,$H5='Auto Responses'!$J$8),0,IF(OR($F5=$G5,$H5='Auto Responses'!$J$7),1,0)))))</f>
        <v>N/A</v>
      </c>
      <c r="M5" s="311" t="str">
        <f aca="false">VLOOKUP($A5,'Institution Evaluation'!$A$56:$K$346,10,0)&amp;""</f>
        <v/>
      </c>
      <c r="N5" s="311" t="n">
        <f aca="false">IF($J5="Critical Importance",1,IF(AND($J5="",$I5="Critical Importance"),1,0))</f>
        <v>0</v>
      </c>
      <c r="O5" s="283" t="str">
        <f aca="false">IF($E5="Not Scored","N/A",IF($J5="",$K5,IF($J5="Minor Importance",5,IF($J5="Standard Importance",10,IF($J5="Critical Importance",20,0)))))</f>
        <v>N/A</v>
      </c>
      <c r="P5" s="283" t="str">
        <f aca="false">IF(OR($O5="N/A",$L5="N/A"),"N/A",$O5*$L5)</f>
        <v>N/A</v>
      </c>
      <c r="Q5" s="283" t="n">
        <f aca="false">IF(M5="TRUE",1,0)</f>
        <v>0</v>
      </c>
      <c r="R5" s="283" t="n">
        <f aca="false">R4+Q5</f>
        <v>0</v>
      </c>
      <c r="S5" s="283" t="n">
        <f aca="false">IF(Q5=0,0,R5)</f>
        <v>0</v>
      </c>
      <c r="T5" s="283" t="n">
        <f aca="false">IF(N5=1,1,0)</f>
        <v>0</v>
      </c>
      <c r="U5" s="283" t="n">
        <f aca="false">U4+T5</f>
        <v>0</v>
      </c>
      <c r="V5" s="283" t="n">
        <f aca="false">IF(T5=0,0,U5)</f>
        <v>0</v>
      </c>
    </row>
    <row r="6" customFormat="false" ht="15" hidden="false" customHeight="false" outlineLevel="0" collapsed="false">
      <c r="A6" s="311" t="str">
        <f aca="false">Questions!$A6</f>
        <v>GNRL-04</v>
      </c>
      <c r="B6" s="311" t="str">
        <f aca="false">LEFT(A6,4)</f>
        <v>GNRL</v>
      </c>
      <c r="C6" s="311" t="str">
        <f aca="false">VLOOKUP($A6,Questions!$A$3:$L$333,2,0)&amp;""</f>
        <v>Solution Provider Contact Name</v>
      </c>
      <c r="D6" s="311" t="str">
        <f aca="false">VLOOKUP($A6,Questions!$A$3:$L$333,11,0)&amp;""</f>
        <v>NA</v>
      </c>
      <c r="E6" s="311" t="str">
        <f aca="false">VLOOKUP($A6,Questions!$A$3:$L$333,12,0)&amp;""</f>
        <v>Not Scored</v>
      </c>
      <c r="F6" s="311" t="str">
        <f aca="false">VLOOKUP($A6,'Institution Evaluation'!$A$56:$K$346,3,0)&amp;""</f>
        <v>Program Steering Commitee (PSC)</v>
      </c>
      <c r="G6" s="311" t="str">
        <f aca="false">VLOOKUP($A6,'Institution Evaluation'!$A$56:$K$346,7,0)&amp;""</f>
        <v>Not scored</v>
      </c>
      <c r="H6" s="311" t="str">
        <f aca="false">VLOOKUP($A6,'Institution Evaluation'!$A$56:$K$346,8,0)&amp;""</f>
        <v/>
      </c>
      <c r="I6" s="311" t="str">
        <f aca="false">VLOOKUP($A6,'Institution Evaluation'!$A$56:$K$346,9,0)&amp;""</f>
        <v/>
      </c>
      <c r="J6" s="311" t="str">
        <f aca="false">VLOOKUP($A6,'Institution Evaluation'!$A$56:$K$346,10,0)&amp;""</f>
        <v/>
      </c>
      <c r="K6" s="311" t="n">
        <f aca="false">IF($I6="Critical Importance",20,IF($I6="Minor Importance",5,10))</f>
        <v>10</v>
      </c>
      <c r="L6" s="283" t="str">
        <f aca="false">IF($E6="Not Scored", "N/A",IF(AND($D6='Auto Responses'!$J$27,$H6=""),"N/A",IF(AND($D6='Auto Responses'!$J$27,$H6='Auto Responses'!$J$7),1,IF(AND($D6='Auto Responses'!$J$27,$H6='Auto Responses'!$J$8),0,IF(OR($F6=$G6,$H6='Auto Responses'!$J$7),1,0)))))</f>
        <v>N/A</v>
      </c>
      <c r="M6" s="311" t="str">
        <f aca="false">VLOOKUP($A6,'Institution Evaluation'!$A$56:$K$346,10,0)&amp;""</f>
        <v/>
      </c>
      <c r="N6" s="311" t="n">
        <f aca="false">IF($J6="Critical Importance",1,IF(AND($J6="",$I6="Critical Importance"),1,0))</f>
        <v>0</v>
      </c>
      <c r="O6" s="283" t="str">
        <f aca="false">IF($E6="Not Scored","N/A",IF($J6="",$K6,IF($J6="Minor Importance",5,IF($J6="Standard Importance",10,IF($J6="Critical Importance",20,0)))))</f>
        <v>N/A</v>
      </c>
      <c r="P6" s="283" t="str">
        <f aca="false">IF(OR($O6="N/A",$L6="N/A"),"N/A",$O6*$L6)</f>
        <v>N/A</v>
      </c>
      <c r="Q6" s="283" t="n">
        <f aca="false">IF(M6="TRUE",1,0)</f>
        <v>0</v>
      </c>
      <c r="R6" s="283" t="n">
        <f aca="false">R5+Q6</f>
        <v>0</v>
      </c>
      <c r="S6" s="283" t="n">
        <f aca="false">IF(Q6=0,0,R6)</f>
        <v>0</v>
      </c>
      <c r="T6" s="283" t="n">
        <f aca="false">IF(N6=1,1,0)</f>
        <v>0</v>
      </c>
      <c r="U6" s="283" t="n">
        <f aca="false">U5+T6</f>
        <v>0</v>
      </c>
      <c r="V6" s="283" t="n">
        <f aca="false">IF(T6=0,0,U6)</f>
        <v>0</v>
      </c>
    </row>
    <row r="7" customFormat="false" ht="15" hidden="false" customHeight="false" outlineLevel="0" collapsed="false">
      <c r="A7" s="311" t="str">
        <f aca="false">Questions!$A7</f>
        <v>GNRL-05</v>
      </c>
      <c r="B7" s="311" t="str">
        <f aca="false">LEFT(A7,4)</f>
        <v>GNRL</v>
      </c>
      <c r="C7" s="311" t="str">
        <f aca="false">VLOOKUP($A7,Questions!$A$3:$L$333,2,0)&amp;""</f>
        <v>Solution Provider Contact Title</v>
      </c>
      <c r="D7" s="311" t="str">
        <f aca="false">VLOOKUP($A7,Questions!$A$3:$L$333,11,0)&amp;""</f>
        <v>NA</v>
      </c>
      <c r="E7" s="311" t="str">
        <f aca="false">VLOOKUP($A7,Questions!$A$3:$L$333,12,0)&amp;""</f>
        <v>Not Scored</v>
      </c>
      <c r="F7" s="311" t="str">
        <f aca="false">VLOOKUP($A7,'Institution Evaluation'!$A$56:$K$346,3,0)&amp;""</f>
        <v>PSC</v>
      </c>
      <c r="G7" s="311" t="str">
        <f aca="false">VLOOKUP($A7,'Institution Evaluation'!$A$56:$K$346,7,0)&amp;""</f>
        <v>Not scored</v>
      </c>
      <c r="H7" s="311" t="str">
        <f aca="false">VLOOKUP($A7,'Institution Evaluation'!$A$56:$K$346,8,0)&amp;""</f>
        <v/>
      </c>
      <c r="I7" s="311" t="str">
        <f aca="false">VLOOKUP($A7,'Institution Evaluation'!$A$56:$K$346,9,0)&amp;""</f>
        <v/>
      </c>
      <c r="J7" s="311" t="str">
        <f aca="false">VLOOKUP($A7,'Institution Evaluation'!$A$56:$K$346,10,0)&amp;""</f>
        <v/>
      </c>
      <c r="K7" s="311" t="n">
        <f aca="false">IF($I7="Critical Importance",20,IF($I7="Minor Importance",5,10))</f>
        <v>10</v>
      </c>
      <c r="L7" s="283" t="str">
        <f aca="false">IF($E7="Not Scored", "N/A",IF(AND($D7='Auto Responses'!$J$27,$H7=""),"N/A",IF(AND($D7='Auto Responses'!$J$27,$H7='Auto Responses'!$J$7),1,IF(AND($D7='Auto Responses'!$J$27,$H7='Auto Responses'!$J$8),0,IF(OR($F7=$G7,$H7='Auto Responses'!$J$7),1,0)))))</f>
        <v>N/A</v>
      </c>
      <c r="M7" s="311" t="str">
        <f aca="false">VLOOKUP($A7,'Institution Evaluation'!$A$56:$K$346,10,0)&amp;""</f>
        <v/>
      </c>
      <c r="N7" s="311" t="n">
        <f aca="false">IF($J7="Critical Importance",1,IF(AND($J7="",$I7="Critical Importance"),1,0))</f>
        <v>0</v>
      </c>
      <c r="O7" s="283" t="str">
        <f aca="false">IF($E7="Not Scored","N/A",IF($J7="",$K7,IF($J7="Minor Importance",5,IF($J7="Standard Importance",10,IF($J7="Critical Importance",20,0)))))</f>
        <v>N/A</v>
      </c>
      <c r="P7" s="283" t="str">
        <f aca="false">IF(OR($O7="N/A",$L7="N/A"),"N/A",$O7*$L7)</f>
        <v>N/A</v>
      </c>
      <c r="Q7" s="283" t="n">
        <f aca="false">IF(M7="TRUE",1,0)</f>
        <v>0</v>
      </c>
      <c r="R7" s="283" t="n">
        <f aca="false">R6+Q7</f>
        <v>0</v>
      </c>
      <c r="S7" s="283" t="n">
        <f aca="false">IF(Q7=0,0,R7)</f>
        <v>0</v>
      </c>
      <c r="T7" s="283" t="n">
        <f aca="false">IF(N7=1,1,0)</f>
        <v>0</v>
      </c>
      <c r="U7" s="283" t="n">
        <f aca="false">U6+T7</f>
        <v>0</v>
      </c>
      <c r="V7" s="283" t="n">
        <f aca="false">IF(T7=0,0,U7)</f>
        <v>0</v>
      </c>
    </row>
    <row r="8" customFormat="false" ht="15" hidden="false" customHeight="false" outlineLevel="0" collapsed="false">
      <c r="A8" s="311" t="str">
        <f aca="false">Questions!$A8</f>
        <v>GNRL-06</v>
      </c>
      <c r="B8" s="311" t="str">
        <f aca="false">LEFT(A8,4)</f>
        <v>GNRL</v>
      </c>
      <c r="C8" s="311" t="str">
        <f aca="false">VLOOKUP($A8,Questions!$A$3:$L$333,2,0)&amp;""</f>
        <v>Solution Provider Contact Email</v>
      </c>
      <c r="D8" s="311" t="str">
        <f aca="false">VLOOKUP($A8,Questions!$A$3:$L$333,11,0)&amp;""</f>
        <v>NA</v>
      </c>
      <c r="E8" s="311" t="str">
        <f aca="false">VLOOKUP($A8,Questions!$A$3:$L$333,12,0)&amp;""</f>
        <v>Not Scored</v>
      </c>
      <c r="F8" s="311" t="str">
        <f aca="false">VLOOKUP($A8,'Institution Evaluation'!$A$56:$K$346,3,0)&amp;""</f>
        <v>qgis-psc@lists.osgeo.org.</v>
      </c>
      <c r="G8" s="311" t="str">
        <f aca="false">VLOOKUP($A8,'Institution Evaluation'!$A$56:$K$346,7,0)&amp;""</f>
        <v>Not scored</v>
      </c>
      <c r="H8" s="311" t="str">
        <f aca="false">VLOOKUP($A8,'Institution Evaluation'!$A$56:$K$346,8,0)&amp;""</f>
        <v/>
      </c>
      <c r="I8" s="311" t="str">
        <f aca="false">VLOOKUP($A8,'Institution Evaluation'!$A$56:$K$346,9,0)&amp;""</f>
        <v/>
      </c>
      <c r="J8" s="311" t="str">
        <f aca="false">VLOOKUP($A8,'Institution Evaluation'!$A$56:$K$346,10,0)&amp;""</f>
        <v/>
      </c>
      <c r="K8" s="311" t="n">
        <f aca="false">IF($I8="Critical Importance",20,IF($I8="Minor Importance",5,10))</f>
        <v>10</v>
      </c>
      <c r="L8" s="283" t="str">
        <f aca="false">IF($E8="Not Scored", "N/A",IF(AND($D8='Auto Responses'!$J$27,$H8=""),"N/A",IF(AND($D8='Auto Responses'!$J$27,$H8='Auto Responses'!$J$7),1,IF(AND($D8='Auto Responses'!$J$27,$H8='Auto Responses'!$J$8),0,IF(OR($F8=$G8,$H8='Auto Responses'!$J$7),1,0)))))</f>
        <v>N/A</v>
      </c>
      <c r="M8" s="311" t="str">
        <f aca="false">VLOOKUP($A8,'Institution Evaluation'!$A$56:$K$346,10,0)&amp;""</f>
        <v/>
      </c>
      <c r="N8" s="311" t="n">
        <f aca="false">IF($J8="Critical Importance",1,IF(AND($J8="",$I8="Critical Importance"),1,0))</f>
        <v>0</v>
      </c>
      <c r="O8" s="283" t="str">
        <f aca="false">IF($E8="Not Scored","N/A",IF($J8="",$K8,IF($J8="Minor Importance",5,IF($J8="Standard Importance",10,IF($J8="Critical Importance",20,0)))))</f>
        <v>N/A</v>
      </c>
      <c r="P8" s="283" t="str">
        <f aca="false">IF(OR($O8="N/A",$L8="N/A"),"N/A",$O8*$L8)</f>
        <v>N/A</v>
      </c>
      <c r="Q8" s="283" t="n">
        <f aca="false">IF(M8="TRUE",1,0)</f>
        <v>0</v>
      </c>
      <c r="R8" s="283" t="n">
        <f aca="false">R7+Q8</f>
        <v>0</v>
      </c>
      <c r="S8" s="283" t="n">
        <f aca="false">IF(Q8=0,0,R8)</f>
        <v>0</v>
      </c>
      <c r="T8" s="283" t="n">
        <f aca="false">IF(N8=1,1,0)</f>
        <v>0</v>
      </c>
      <c r="U8" s="283" t="n">
        <f aca="false">U7+T8</f>
        <v>0</v>
      </c>
      <c r="V8" s="283" t="n">
        <f aca="false">IF(T8=0,0,U8)</f>
        <v>0</v>
      </c>
    </row>
    <row r="9" customFormat="false" ht="15" hidden="false" customHeight="false" outlineLevel="0" collapsed="false">
      <c r="A9" s="311" t="str">
        <f aca="false">Questions!$A9</f>
        <v>GNRL-07</v>
      </c>
      <c r="B9" s="311" t="str">
        <f aca="false">LEFT(A9,4)</f>
        <v>GNRL</v>
      </c>
      <c r="C9" s="311" t="str">
        <f aca="false">VLOOKUP($A9,Questions!$A$3:$L$333,2,0)&amp;""</f>
        <v>Solution Provider Contact Phone Number</v>
      </c>
      <c r="D9" s="311" t="str">
        <f aca="false">VLOOKUP($A9,Questions!$A$3:$L$333,11,0)&amp;""</f>
        <v>NA</v>
      </c>
      <c r="E9" s="311" t="str">
        <f aca="false">VLOOKUP($A9,Questions!$A$3:$L$333,12,0)&amp;""</f>
        <v>Not Scored</v>
      </c>
      <c r="F9" s="311" t="str">
        <f aca="false">VLOOKUP($A9,'Institution Evaluation'!$A$56:$K$346,3,0)&amp;""</f>
        <v>NA</v>
      </c>
      <c r="G9" s="311" t="str">
        <f aca="false">VLOOKUP($A9,'Institution Evaluation'!$A$56:$K$346,7,0)&amp;""</f>
        <v>Not scored</v>
      </c>
      <c r="H9" s="311" t="str">
        <f aca="false">VLOOKUP($A9,'Institution Evaluation'!$A$56:$K$346,8,0)&amp;""</f>
        <v/>
      </c>
      <c r="I9" s="311" t="str">
        <f aca="false">VLOOKUP($A9,'Institution Evaluation'!$A$56:$K$346,9,0)&amp;""</f>
        <v/>
      </c>
      <c r="J9" s="311" t="str">
        <f aca="false">VLOOKUP($A9,'Institution Evaluation'!$A$56:$K$346,10,0)&amp;""</f>
        <v/>
      </c>
      <c r="K9" s="311" t="n">
        <f aca="false">IF($I9="Critical Importance",20,IF($I9="Minor Importance",5,10))</f>
        <v>10</v>
      </c>
      <c r="L9" s="283" t="str">
        <f aca="false">IF($E9="Not Scored", "N/A",IF(AND($D9='Auto Responses'!$J$27,$H9=""),"N/A",IF(AND($D9='Auto Responses'!$J$27,$H9='Auto Responses'!$J$7),1,IF(AND($D9='Auto Responses'!$J$27,$H9='Auto Responses'!$J$8),0,IF(OR($F9=$G9,$H9='Auto Responses'!$J$7),1,0)))))</f>
        <v>N/A</v>
      </c>
      <c r="M9" s="311" t="str">
        <f aca="false">VLOOKUP($A9,'Institution Evaluation'!$A$56:$K$346,10,0)&amp;""</f>
        <v/>
      </c>
      <c r="N9" s="311" t="n">
        <f aca="false">IF($J9="Critical Importance",1,IF(AND($J9="",$I9="Critical Importance"),1,0))</f>
        <v>0</v>
      </c>
      <c r="O9" s="283" t="str">
        <f aca="false">IF($E9="Not Scored","N/A",IF($J9="",$K9,IF($J9="Minor Importance",5,IF($J9="Standard Importance",10,IF($J9="Critical Importance",20,0)))))</f>
        <v>N/A</v>
      </c>
      <c r="P9" s="283" t="str">
        <f aca="false">IF(OR($O9="N/A",$L9="N/A"),"N/A",$O9*$L9)</f>
        <v>N/A</v>
      </c>
      <c r="Q9" s="283" t="n">
        <f aca="false">IF(M9="TRUE",1,0)</f>
        <v>0</v>
      </c>
      <c r="R9" s="283" t="n">
        <f aca="false">R8+Q9</f>
        <v>0</v>
      </c>
      <c r="S9" s="283" t="n">
        <f aca="false">IF(Q9=0,0,R9)</f>
        <v>0</v>
      </c>
      <c r="T9" s="283" t="n">
        <f aca="false">IF(N9=1,1,0)</f>
        <v>0</v>
      </c>
      <c r="U9" s="283" t="n">
        <f aca="false">U8+T9</f>
        <v>0</v>
      </c>
      <c r="V9" s="283" t="n">
        <f aca="false">IF(T9=0,0,U9)</f>
        <v>0</v>
      </c>
    </row>
    <row r="10" customFormat="false" ht="15" hidden="false" customHeight="false" outlineLevel="0" collapsed="false">
      <c r="A10" s="311" t="str">
        <f aca="false">Questions!$A10</f>
        <v>GNRL-08</v>
      </c>
      <c r="B10" s="311" t="str">
        <f aca="false">LEFT(A10,4)</f>
        <v>GNRL</v>
      </c>
      <c r="C10" s="311" t="str">
        <f aca="false">VLOOKUP($A10,Questions!$A$3:$L$333,2,0)&amp;""</f>
        <v>Country of Company Headquarters</v>
      </c>
      <c r="D10" s="311" t="str">
        <f aca="false">VLOOKUP($A10,Questions!$A$3:$L$333,11,0)&amp;""</f>
        <v>NA</v>
      </c>
      <c r="E10" s="311" t="str">
        <f aca="false">VLOOKUP($A10,Questions!$A$3:$L$333,12,0)&amp;""</f>
        <v>Not Scored</v>
      </c>
      <c r="F10" s="311" t="str">
        <f aca="false">VLOOKUP($A10,'Institution Evaluation'!$A$56:$K$346,3,0)&amp;""</f>
        <v>Switzerland</v>
      </c>
      <c r="G10" s="311" t="str">
        <f aca="false">VLOOKUP($A10,'Institution Evaluation'!$A$56:$K$346,7,0)&amp;""</f>
        <v>Not scored</v>
      </c>
      <c r="H10" s="311" t="str">
        <f aca="false">VLOOKUP($A10,'Institution Evaluation'!$A$56:$K$346,8,0)&amp;""</f>
        <v/>
      </c>
      <c r="I10" s="311" t="str">
        <f aca="false">VLOOKUP($A10,'Institution Evaluation'!$A$56:$K$346,9,0)&amp;""</f>
        <v/>
      </c>
      <c r="J10" s="311" t="str">
        <f aca="false">VLOOKUP($A10,'Institution Evaluation'!$A$56:$K$346,10,0)&amp;""</f>
        <v/>
      </c>
      <c r="K10" s="311" t="n">
        <f aca="false">IF($I10="Critical Importance",20,IF($I10="Minor Importance",5,10))</f>
        <v>10</v>
      </c>
      <c r="L10" s="283" t="str">
        <f aca="false">IF($E10="Not Scored", "N/A",IF(AND($D10='Auto Responses'!$J$27,$H10=""),"N/A",IF(AND($D10='Auto Responses'!$J$27,$H10='Auto Responses'!$J$7),1,IF(AND($D10='Auto Responses'!$J$27,$H10='Auto Responses'!$J$8),0,IF(OR($F10=$G10,$H10='Auto Responses'!$J$7),1,0)))))</f>
        <v>N/A</v>
      </c>
      <c r="M10" s="311" t="str">
        <f aca="false">VLOOKUP($A10,'Institution Evaluation'!$A$56:$K$346,10,0)&amp;""</f>
        <v/>
      </c>
      <c r="N10" s="311" t="n">
        <f aca="false">IF($J10="Critical Importance",1,IF(AND($J10="",$I10="Critical Importance"),1,0))</f>
        <v>0</v>
      </c>
      <c r="O10" s="283" t="str">
        <f aca="false">IF($E10="Not Scored","N/A",IF($J10="",$K10,IF($J10="Minor Importance",5,IF($J10="Standard Importance",10,IF($J10="Critical Importance",20,0)))))</f>
        <v>N/A</v>
      </c>
      <c r="P10" s="283" t="str">
        <f aca="false">IF(OR($O10="N/A",$L10="N/A"),"N/A",$O10*$L10)</f>
        <v>N/A</v>
      </c>
      <c r="Q10" s="283" t="n">
        <f aca="false">IF(M10="TRUE",1,0)</f>
        <v>0</v>
      </c>
      <c r="R10" s="283" t="n">
        <f aca="false">R9+Q10</f>
        <v>0</v>
      </c>
      <c r="S10" s="283" t="n">
        <f aca="false">IF(Q10=0,0,R10)</f>
        <v>0</v>
      </c>
      <c r="T10" s="283" t="n">
        <f aca="false">IF(N10=1,1,0)</f>
        <v>0</v>
      </c>
      <c r="U10" s="283" t="n">
        <f aca="false">U9+T10</f>
        <v>0</v>
      </c>
      <c r="V10" s="283" t="n">
        <f aca="false">IF(T10=0,0,U10)</f>
        <v>0</v>
      </c>
    </row>
    <row r="11" customFormat="false" ht="15" hidden="false" customHeight="false" outlineLevel="0" collapsed="false">
      <c r="A11" s="311" t="str">
        <f aca="false">Questions!$A11</f>
        <v>GNRL-09</v>
      </c>
      <c r="B11" s="311" t="str">
        <f aca="false">LEFT(A11,4)</f>
        <v>GNRL</v>
      </c>
      <c r="C11" s="311" t="str">
        <f aca="false">VLOOKUP($A11,Questions!$A$3:$L$333,2,0)&amp;""</f>
        <v>Employee Work Locations (all)</v>
      </c>
      <c r="D11" s="311" t="s">
        <v>16</v>
      </c>
      <c r="E11" s="311" t="str">
        <f aca="false">VLOOKUP($A11,Questions!$A$3:$L$333,12,0)&amp;""</f>
        <v>Not Scored</v>
      </c>
      <c r="F11" s="311" t="str">
        <f aca="false">VLOOKUP($A11,'Institution Evaluation'!$A$56:$K$346,3,0)&amp;""</f>
        <v>Worldwide </v>
      </c>
      <c r="G11" s="311" t="str">
        <f aca="false">VLOOKUP($A11,'Institution Evaluation'!$A$56:$K$346,7,0)&amp;""</f>
        <v>Not scored</v>
      </c>
      <c r="H11" s="311" t="str">
        <f aca="false">VLOOKUP($A11,'Institution Evaluation'!$A$56:$K$346,8,0)&amp;""</f>
        <v/>
      </c>
      <c r="I11" s="311" t="str">
        <f aca="false">VLOOKUP($A11,'Institution Evaluation'!$A$56:$K$346,9,0)&amp;""</f>
        <v/>
      </c>
      <c r="J11" s="311" t="str">
        <f aca="false">VLOOKUP($A11,'Institution Evaluation'!$A$56:$K$346,10,0)&amp;""</f>
        <v/>
      </c>
      <c r="K11" s="311" t="n">
        <f aca="false">IF($I11="Critical Importance",20,IF($I11="Minor Importance",5,10))</f>
        <v>10</v>
      </c>
      <c r="L11" s="283" t="str">
        <f aca="false">IF($E11="Not Scored", "N/A",IF(AND($D11='Auto Responses'!$J$27,$H11=""),"N/A",IF(AND($D11='Auto Responses'!$J$27,$H11='Auto Responses'!$J$7),1,IF(AND($D11='Auto Responses'!$J$27,$H11='Auto Responses'!$J$8),0,IF(OR($F11=$G11,$H11='Auto Responses'!$J$7),1,0)))))</f>
        <v>N/A</v>
      </c>
      <c r="M11" s="311" t="str">
        <f aca="false">VLOOKUP($A11,'Institution Evaluation'!$A$56:$K$346,10,0)&amp;""</f>
        <v/>
      </c>
      <c r="N11" s="311" t="n">
        <f aca="false">IF($J11="Critical Importance",1,IF(AND($J11="",$I11="Critical Importance"),1,0))</f>
        <v>0</v>
      </c>
      <c r="O11" s="283" t="str">
        <f aca="false">IF($E11="Not Scored","N/A",IF($J11="",$K11,IF($J11="Minor Importance",5,IF($J11="Standard Importance",10,IF($J11="Critical Importance",20,0)))))</f>
        <v>N/A</v>
      </c>
      <c r="P11" s="283" t="str">
        <f aca="false">IF(OR($O11="N/A",$L11="N/A"),"N/A",$O11*$L11)</f>
        <v>N/A</v>
      </c>
      <c r="Q11" s="283" t="n">
        <f aca="false">IF(M11="TRUE",1,0)</f>
        <v>0</v>
      </c>
      <c r="R11" s="283" t="n">
        <f aca="false">R10+Q11</f>
        <v>0</v>
      </c>
      <c r="S11" s="283" t="n">
        <f aca="false">IF(Q11=0,0,R11)</f>
        <v>0</v>
      </c>
      <c r="T11" s="283" t="n">
        <f aca="false">IF(N11=1,1,0)</f>
        <v>0</v>
      </c>
      <c r="U11" s="283" t="n">
        <f aca="false">U10+T11</f>
        <v>0</v>
      </c>
      <c r="V11" s="283" t="n">
        <f aca="false">IF(T11=0,0,U11)</f>
        <v>0</v>
      </c>
    </row>
    <row r="12" customFormat="false" ht="39.55" hidden="false" customHeight="false" outlineLevel="0" collapsed="false">
      <c r="A12" s="311" t="str">
        <f aca="false">Questions!$A12</f>
        <v>COMP-01</v>
      </c>
      <c r="B12" s="311" t="str">
        <f aca="false">LEFT(A12,4)</f>
        <v>COMP</v>
      </c>
      <c r="C12" s="311" t="str">
        <f aca="false">VLOOKUP($A12,Questions!$A$3:$L$333,2,0)&amp;""</f>
        <v>Do you have a dedicated software and system development team(s) (e.g., customer support, implementation, product management, etc.)?*</v>
      </c>
      <c r="D12" s="311" t="str">
        <f aca="false">VLOOKUP($A12,Questions!$A$3:$L$333,11,0)&amp;""</f>
        <v/>
      </c>
      <c r="E12" s="311" t="str">
        <f aca="false">VLOOKUP($A12,Questions!$A$3:$L$333,12,0)&amp;""</f>
        <v>Start Here</v>
      </c>
      <c r="F12" s="311" t="str">
        <f aca="false">VLOOKUP($A12,'Institution Evaluation'!$A$56:$K$346,3,0)&amp;""</f>
        <v>No</v>
      </c>
      <c r="G12" s="311" t="str">
        <f aca="false">VLOOKUP($A12,'Institution Evaluation'!$A$56:$K$346,7,0)&amp;""</f>
        <v>Yes</v>
      </c>
      <c r="H12" s="311" t="str">
        <f aca="false">VLOOKUP($A12,'Institution Evaluation'!$A$56:$K$346,8,0)&amp;""</f>
        <v/>
      </c>
      <c r="I12" s="311" t="str">
        <f aca="false">VLOOKUP($A12,'Institution Evaluation'!$A$56:$K$346,9,0)&amp;""</f>
        <v>Critical Importance</v>
      </c>
      <c r="J12" s="311" t="str">
        <f aca="false">VLOOKUP($A12,'Institution Evaluation'!$A$56:$K$346,10,0)&amp;""</f>
        <v/>
      </c>
      <c r="K12" s="311" t="n">
        <f aca="false">IF($I12="Critical Importance",20,IF($I12="Minor Importance",5,10))</f>
        <v>20</v>
      </c>
      <c r="L12" s="283" t="n">
        <f aca="false">IF($E12="Not Scored", "N/A",IF(AND($D12='Auto Responses'!$J$27,$H12=""),"N/A",IF(AND($D12='Auto Responses'!$J$27,$H12='Auto Responses'!$J$7),1,IF(AND($D12='Auto Responses'!$J$27,$H12='Auto Responses'!$J$8),0,IF(OR($F12=$G12,$H12='Auto Responses'!$J$7),1,0)))))</f>
        <v>0</v>
      </c>
      <c r="M12" s="311" t="str">
        <f aca="false">VLOOKUP($A12,'Institution Evaluation'!$A$56:$K$346,10,0)&amp;""</f>
        <v/>
      </c>
      <c r="N12" s="311" t="n">
        <f aca="false">IF($J12="Critical Importance",1,IF(AND($J12="",$I12="Critical Importance"),1,0))</f>
        <v>1</v>
      </c>
      <c r="O12" s="283" t="n">
        <f aca="false">IF($E12="Not Scored","N/A",IF($J12="",$K12,IF($J12="Minor Importance",5,IF($J12="Standard Importance",10,IF($J12="Critical Importance",20,0)))))</f>
        <v>20</v>
      </c>
      <c r="P12" s="283" t="n">
        <f aca="false">IF(OR($O12="N/A",$L12="N/A"),"N/A",$O12*$L12)</f>
        <v>0</v>
      </c>
      <c r="Q12" s="283" t="n">
        <f aca="false">IF(M12="TRUE",1,0)</f>
        <v>0</v>
      </c>
      <c r="R12" s="283" t="n">
        <f aca="false">R11+Q12</f>
        <v>0</v>
      </c>
      <c r="S12" s="283" t="n">
        <f aca="false">IF(Q12=0,0,R12)</f>
        <v>0</v>
      </c>
      <c r="T12" s="283" t="n">
        <f aca="false">IF(N12=1,1,0)</f>
        <v>1</v>
      </c>
      <c r="U12" s="283" t="n">
        <f aca="false">U11+T12</f>
        <v>1</v>
      </c>
      <c r="V12" s="283" t="n">
        <f aca="false">IF(T12=0,0,U12)</f>
        <v>1</v>
      </c>
    </row>
    <row r="13" customFormat="false" ht="39.55" hidden="false" customHeight="false" outlineLevel="0" collapsed="false">
      <c r="A13" s="311" t="str">
        <f aca="false">Questions!$A13</f>
        <v>COMP-02</v>
      </c>
      <c r="B13" s="311" t="str">
        <f aca="false">LEFT(A13,4)</f>
        <v>COMP</v>
      </c>
      <c r="C13" s="311" t="str">
        <f aca="false">VLOOKUP($A13,Questions!$A$3:$L$333,2,0)&amp;""</f>
        <v>Describe your organization’s business background and ownership structure, including all parent and subsidiary relationships.</v>
      </c>
      <c r="D13" s="311" t="str">
        <f aca="false">VLOOKUP($A13,Questions!$A$3:$L$333,11,0)&amp;""</f>
        <v/>
      </c>
      <c r="E13" s="311" t="str">
        <f aca="false">VLOOKUP($A13,Questions!$A$3:$L$333,12,0)&amp;""</f>
        <v>Not scored</v>
      </c>
      <c r="F13" s="311" t="str">
        <f aca="false">VLOOKUP($A13,'Institution Evaluation'!$A$56:$K$346,3,0)&amp;""</f>
        <v>GIS is an open-source project comprised of contributors worldwide; no single company sells a hosted QGIS service by default). Provide organization/legal entity if your institution contracts with a third-party vendor providing commercial QGIS support.</v>
      </c>
      <c r="G13" s="311" t="str">
        <f aca="false">VLOOKUP($A13,'Institution Evaluation'!$A$56:$K$346,7,0)&amp;""</f>
        <v>Not scored</v>
      </c>
      <c r="H13" s="311" t="str">
        <f aca="false">VLOOKUP($A13,'Institution Evaluation'!$A$56:$K$346,8,0)&amp;""</f>
        <v/>
      </c>
      <c r="I13" s="311" t="str">
        <f aca="false">VLOOKUP($A13,'Institution Evaluation'!$A$56:$K$346,9,0)&amp;""</f>
        <v/>
      </c>
      <c r="J13" s="311" t="str">
        <f aca="false">VLOOKUP($A13,'Institution Evaluation'!$A$56:$K$346,10,0)&amp;""</f>
        <v/>
      </c>
      <c r="K13" s="311" t="n">
        <f aca="false">IF($I13="Critical Importance",20,IF($I13="Minor Importance",5,10))</f>
        <v>10</v>
      </c>
      <c r="L13" s="283" t="str">
        <f aca="false">IF($E13="Not Scored", "N/A",IF(AND($D13='Auto Responses'!$J$27,$H13=""),"N/A",IF(AND($D13='Auto Responses'!$J$27,$H13='Auto Responses'!$J$7),1,IF(AND($D13='Auto Responses'!$J$27,$H13='Auto Responses'!$J$8),0,IF(OR($F13=$G13,$H13='Auto Responses'!$J$7),1,0)))))</f>
        <v>N/A</v>
      </c>
      <c r="M13" s="311" t="str">
        <f aca="false">VLOOKUP($A13,'Institution Evaluation'!$A$56:$K$346,10,0)&amp;""</f>
        <v/>
      </c>
      <c r="N13" s="311" t="n">
        <f aca="false">IF($J13="Critical Importance",1,IF(AND($J13="",$I13="Critical Importance"),1,0))</f>
        <v>0</v>
      </c>
      <c r="O13" s="283" t="str">
        <f aca="false">IF($E13="Not Scored","N/A",IF($J13="",$K13,IF($J13="Minor Importance",5,IF($J13="Standard Importance",10,IF($J13="Critical Importance",20,0)))))</f>
        <v>N/A</v>
      </c>
      <c r="P13" s="283" t="str">
        <f aca="false">IF(OR($O13="N/A",$L13="N/A"),"N/A",$O13*$L13)</f>
        <v>N/A</v>
      </c>
      <c r="Q13" s="283" t="n">
        <f aca="false">IF(M13="TRUE",1,0)</f>
        <v>0</v>
      </c>
      <c r="R13" s="283" t="n">
        <f aca="false">R12+Q13</f>
        <v>0</v>
      </c>
      <c r="S13" s="283" t="n">
        <f aca="false">IF(Q13=0,0,R13)</f>
        <v>0</v>
      </c>
      <c r="T13" s="283" t="n">
        <f aca="false">IF(N13=1,1,0)</f>
        <v>0</v>
      </c>
      <c r="U13" s="283" t="n">
        <f aca="false">U12+T13</f>
        <v>1</v>
      </c>
      <c r="V13" s="283" t="n">
        <f aca="false">IF(T13=0,0,U13)</f>
        <v>0</v>
      </c>
    </row>
    <row r="14" customFormat="false" ht="39.55" hidden="false" customHeight="false" outlineLevel="0" collapsed="false">
      <c r="A14" s="311" t="str">
        <f aca="false">Questions!$A14</f>
        <v>COMP-03</v>
      </c>
      <c r="B14" s="311" t="str">
        <f aca="false">LEFT(A14,4)</f>
        <v>COMP</v>
      </c>
      <c r="C14" s="311" t="str">
        <f aca="false">VLOOKUP($A14,Questions!$A$3:$L$333,2,0)&amp;""</f>
        <v>Have you operated without unplanned disruptions to this solution in the past 12 months?</v>
      </c>
      <c r="D14" s="311" t="str">
        <f aca="false">VLOOKUP($A14,Questions!$A$3:$L$333,11,0)&amp;""</f>
        <v/>
      </c>
      <c r="E14" s="311" t="str">
        <f aca="false">VLOOKUP($A14,Questions!$A$3:$L$333,12,0)&amp;""</f>
        <v>Start Here</v>
      </c>
      <c r="F14" s="311" t="str">
        <f aca="false">VLOOKUP($A14,'Institution Evaluation'!$A$56:$K$346,3,0)&amp;""</f>
        <v>Yes</v>
      </c>
      <c r="G14" s="311" t="str">
        <f aca="false">VLOOKUP($A14,'Institution Evaluation'!$A$56:$K$346,7,0)&amp;""</f>
        <v>Yes</v>
      </c>
      <c r="H14" s="311" t="str">
        <f aca="false">VLOOKUP($A14,'Institution Evaluation'!$A$56:$K$346,8,0)&amp;""</f>
        <v/>
      </c>
      <c r="I14" s="311" t="str">
        <f aca="false">VLOOKUP($A14,'Institution Evaluation'!$A$56:$K$346,9,0)&amp;""</f>
        <v>Minor Importance</v>
      </c>
      <c r="J14" s="311" t="str">
        <f aca="false">VLOOKUP($A14,'Institution Evaluation'!$A$56:$K$346,10,0)&amp;""</f>
        <v/>
      </c>
      <c r="K14" s="311" t="n">
        <f aca="false">IF($I14="Critical Importance",20,IF($I14="Minor Importance",5,10))</f>
        <v>5</v>
      </c>
      <c r="L14" s="283" t="n">
        <f aca="false">IF($E14="Not Scored", "N/A",IF(AND($D14='Auto Responses'!$J$27,$H14=""),"N/A",IF(AND($D14='Auto Responses'!$J$27,$H14='Auto Responses'!$J$7),1,IF(AND($D14='Auto Responses'!$J$27,$H14='Auto Responses'!$J$8),0,IF(OR($F14=$G14,$H14='Auto Responses'!$J$7),1,0)))))</f>
        <v>1</v>
      </c>
      <c r="M14" s="311" t="str">
        <f aca="false">VLOOKUP($A14,'Institution Evaluation'!$A$56:$K$346,10,0)&amp;""</f>
        <v/>
      </c>
      <c r="N14" s="311" t="n">
        <f aca="false">IF($J14="Critical Importance",1,IF(AND($J14="",$I14="Critical Importance"),1,0))</f>
        <v>0</v>
      </c>
      <c r="O14" s="283" t="n">
        <f aca="false">IF($E14="Not Scored","N/A",IF($J14="",$K14,IF($J14="Minor Importance",5,IF($J14="Standard Importance",10,IF($J14="Critical Importance",20,0)))))</f>
        <v>5</v>
      </c>
      <c r="P14" s="283" t="n">
        <f aca="false">IF(OR($O14="N/A",$L14="N/A"),"N/A",$O14*$L14)</f>
        <v>5</v>
      </c>
      <c r="Q14" s="283" t="n">
        <f aca="false">IF(M14="TRUE",1,0)</f>
        <v>0</v>
      </c>
      <c r="R14" s="283" t="n">
        <f aca="false">R13+Q14</f>
        <v>0</v>
      </c>
      <c r="S14" s="283" t="n">
        <f aca="false">IF(Q14=0,0,R14)</f>
        <v>0</v>
      </c>
      <c r="T14" s="283" t="n">
        <f aca="false">IF(N14=1,1,0)</f>
        <v>0</v>
      </c>
      <c r="U14" s="283" t="n">
        <f aca="false">U13+T14</f>
        <v>1</v>
      </c>
      <c r="V14" s="283" t="n">
        <f aca="false">IF(T14=0,0,U14)</f>
        <v>0</v>
      </c>
    </row>
    <row r="15" customFormat="false" ht="26.85" hidden="false" customHeight="false" outlineLevel="0" collapsed="false">
      <c r="A15" s="311" t="str">
        <f aca="false">Questions!$A15</f>
        <v>COMP-04</v>
      </c>
      <c r="B15" s="311" t="str">
        <f aca="false">LEFT(A15,4)</f>
        <v>COMP</v>
      </c>
      <c r="C15" s="311" t="str">
        <f aca="false">VLOOKUP($A15,Questions!$A$3:$L$333,2,0)&amp;""</f>
        <v>Do you have a dedicated information security staff or office?</v>
      </c>
      <c r="D15" s="311" t="str">
        <f aca="false">VLOOKUP($A15,Questions!$A$3:$L$333,11,0)&amp;""</f>
        <v/>
      </c>
      <c r="E15" s="311" t="str">
        <f aca="false">VLOOKUP($A15,Questions!$A$3:$L$333,12,0)&amp;""</f>
        <v>Start Here</v>
      </c>
      <c r="F15" s="311" t="str">
        <f aca="false">VLOOKUP($A15,'Institution Evaluation'!$A$56:$K$346,3,0)&amp;""</f>
        <v>Yes</v>
      </c>
      <c r="G15" s="311" t="str">
        <f aca="false">VLOOKUP($A15,'Institution Evaluation'!$A$56:$K$346,7,0)&amp;""</f>
        <v>Yes</v>
      </c>
      <c r="H15" s="311" t="str">
        <f aca="false">VLOOKUP($A15,'Institution Evaluation'!$A$56:$K$346,8,0)&amp;""</f>
        <v/>
      </c>
      <c r="I15" s="311" t="str">
        <f aca="false">VLOOKUP($A15,'Institution Evaluation'!$A$56:$K$346,9,0)&amp;""</f>
        <v>Minor Importance</v>
      </c>
      <c r="J15" s="311" t="str">
        <f aca="false">VLOOKUP($A15,'Institution Evaluation'!$A$56:$K$346,10,0)&amp;""</f>
        <v/>
      </c>
      <c r="K15" s="311" t="n">
        <f aca="false">IF($I15="Critical Importance",20,IF($I15="Minor Importance",5,10))</f>
        <v>5</v>
      </c>
      <c r="L15" s="283" t="n">
        <f aca="false">IF($E15="Not Scored", "N/A",IF(AND($D15='Auto Responses'!$J$27,$H15=""),"N/A",IF(AND($D15='Auto Responses'!$J$27,$H15='Auto Responses'!$J$7),1,IF(AND($D15='Auto Responses'!$J$27,$H15='Auto Responses'!$J$8),0,IF(OR($F15=$G15,$H15='Auto Responses'!$J$7),1,0)))))</f>
        <v>1</v>
      </c>
      <c r="M15" s="311" t="str">
        <f aca="false">VLOOKUP($A15,'Institution Evaluation'!$A$56:$K$346,10,0)&amp;""</f>
        <v/>
      </c>
      <c r="N15" s="311" t="n">
        <f aca="false">IF($J15="Critical Importance",1,IF(AND($J15="",$I15="Critical Importance"),1,0))</f>
        <v>0</v>
      </c>
      <c r="O15" s="283" t="n">
        <f aca="false">IF($E15="Not Scored","N/A",IF($J15="",$K15,IF($J15="Minor Importance",5,IF($J15="Standard Importance",10,IF($J15="Critical Importance",20,0)))))</f>
        <v>5</v>
      </c>
      <c r="P15" s="283" t="n">
        <f aca="false">IF(OR($O15="N/A",$L15="N/A"),"N/A",$O15*$L15)</f>
        <v>5</v>
      </c>
      <c r="Q15" s="283" t="n">
        <f aca="false">IF(M15="TRUE",1,0)</f>
        <v>0</v>
      </c>
      <c r="R15" s="283" t="n">
        <f aca="false">R14+Q15</f>
        <v>0</v>
      </c>
      <c r="S15" s="283" t="n">
        <f aca="false">IF(Q15=0,0,R15)</f>
        <v>0</v>
      </c>
      <c r="T15" s="283" t="n">
        <f aca="false">IF(N15=1,1,0)</f>
        <v>0</v>
      </c>
      <c r="U15" s="283" t="n">
        <f aca="false">U14+T15</f>
        <v>1</v>
      </c>
      <c r="V15" s="283" t="n">
        <f aca="false">IF(T15=0,0,U15)</f>
        <v>0</v>
      </c>
    </row>
    <row r="16" customFormat="false" ht="52.2" hidden="false" customHeight="false" outlineLevel="0" collapsed="false">
      <c r="A16" s="311" t="str">
        <f aca="false">Questions!$A16</f>
        <v>COMP-05</v>
      </c>
      <c r="B16" s="311" t="str">
        <f aca="false">LEFT(A16,4)</f>
        <v>COMP</v>
      </c>
      <c r="C16" s="311" t="str">
        <f aca="false">VLOOKUP($A16,Questions!$A$3:$L$333,2,0)&amp;""</f>
        <v>Use this area to share information about your environment that will assist those who are assessing your company's data security program.</v>
      </c>
      <c r="D16" s="311" t="str">
        <f aca="false">VLOOKUP($A16,Questions!$A$3:$L$333,11,0)&amp;""</f>
        <v/>
      </c>
      <c r="E16" s="311" t="str">
        <f aca="false">VLOOKUP($A16,Questions!$A$3:$L$333,12,0)&amp;""</f>
        <v>Not Scored</v>
      </c>
      <c r="F16" s="311" t="str">
        <f aca="false">VLOOKUP($A16,'Institution Evaluation'!$A$56:$K$346,3,0)&amp;""</f>
        <v>QGIS.org does not handle users data as it is not a Saas Service.
QGIS let’s you pull your own datasources to make maps, data input, data analysis. No data is ever uploaded in a distant server handled by QGIS.org. Each data provider has itw own security access rules, from none for CSV, to really advanced for PostgreSQL. QGIS follows state of art for each data provider requirements, and offers an authentication manager to protect credential in an encrypted local vault (funded by NSA)</v>
      </c>
      <c r="G16" s="311" t="str">
        <f aca="false">VLOOKUP($A16,'Institution Evaluation'!$A$56:$K$346,7,0)&amp;""</f>
        <v>Not scored</v>
      </c>
      <c r="H16" s="311" t="str">
        <f aca="false">VLOOKUP($A16,'Institution Evaluation'!$A$56:$K$346,8,0)&amp;""</f>
        <v/>
      </c>
      <c r="I16" s="311" t="str">
        <f aca="false">VLOOKUP($A16,'Institution Evaluation'!$A$56:$K$346,9,0)&amp;""</f>
        <v/>
      </c>
      <c r="J16" s="311" t="str">
        <f aca="false">VLOOKUP($A16,'Institution Evaluation'!$A$56:$K$346,10,0)&amp;""</f>
        <v/>
      </c>
      <c r="K16" s="311" t="n">
        <f aca="false">IF($I16="Critical Importance",20,IF($I16="Minor Importance",5,10))</f>
        <v>10</v>
      </c>
      <c r="L16" s="283" t="str">
        <f aca="false">IF($E16="Not Scored", "N/A",IF(AND($D16='Auto Responses'!$J$27,$H16=""),"N/A",IF(AND($D16='Auto Responses'!$J$27,$H16='Auto Responses'!$J$7),1,IF(AND($D16='Auto Responses'!$J$27,$H16='Auto Responses'!$J$8),0,IF(OR($F16=$G16,$H16='Auto Responses'!$J$7),1,0)))))</f>
        <v>N/A</v>
      </c>
      <c r="M16" s="311" t="str">
        <f aca="false">VLOOKUP($A16,'Institution Evaluation'!$A$56:$K$346,10,0)&amp;""</f>
        <v/>
      </c>
      <c r="N16" s="311" t="n">
        <f aca="false">IF($J16="Critical Importance",1,IF(AND($J16="",$I16="Critical Importance"),1,0))</f>
        <v>0</v>
      </c>
      <c r="O16" s="283" t="str">
        <f aca="false">IF($E16="Not Scored","N/A",IF($J16="",$K16,IF($J16="Minor Importance",5,IF($J16="Standard Importance",10,IF($J16="Critical Importance",20,0)))))</f>
        <v>N/A</v>
      </c>
      <c r="P16" s="283" t="str">
        <f aca="false">IF(OR($O16="N/A",$L16="N/A"),"N/A",$O16*$L16)</f>
        <v>N/A</v>
      </c>
      <c r="Q16" s="283" t="n">
        <f aca="false">IF(M16="TRUE",1,0)</f>
        <v>0</v>
      </c>
      <c r="R16" s="283" t="n">
        <f aca="false">R15+Q16</f>
        <v>0</v>
      </c>
      <c r="S16" s="283" t="n">
        <f aca="false">IF(Q16=0,0,R16)</f>
        <v>0</v>
      </c>
      <c r="T16" s="283" t="n">
        <f aca="false">IF(N16=1,1,0)</f>
        <v>0</v>
      </c>
      <c r="U16" s="283" t="n">
        <f aca="false">U15+T16</f>
        <v>1</v>
      </c>
      <c r="V16" s="283" t="n">
        <f aca="false">IF(T16=0,0,U16)</f>
        <v>0</v>
      </c>
    </row>
    <row r="17" customFormat="false" ht="15" hidden="false" customHeight="false" outlineLevel="0" collapsed="false">
      <c r="A17" s="311" t="str">
        <f aca="false">Questions!$A17</f>
        <v>REQU-01</v>
      </c>
      <c r="B17" s="311" t="str">
        <f aca="false">LEFT(A17,4)</f>
        <v>REQU</v>
      </c>
      <c r="C17" s="311" t="str">
        <f aca="false">VLOOKUP($A17,Questions!$A$3:$L$333,2,0)&amp;""</f>
        <v>Are you offering a cloud-based product?</v>
      </c>
      <c r="D17" s="311" t="str">
        <f aca="false">VLOOKUP($A17,Questions!$A$3:$L$333,11,0)&amp;""</f>
        <v>NA</v>
      </c>
      <c r="E17" s="311" t="str">
        <f aca="false">VLOOKUP($A17,Questions!$A$3:$L$333,12,0)&amp;""</f>
        <v>Not Scored</v>
      </c>
      <c r="F17" s="311" t="str">
        <f aca="false">VLOOKUP($A17,'Institution Evaluation'!$A$56:$K$346,3,0)&amp;""</f>
        <v>No</v>
      </c>
      <c r="G17" s="311" t="str">
        <f aca="false">VLOOKUP($A17,'Institution Evaluation'!$A$56:$K$346,7,0)&amp;""</f>
        <v>Not scored</v>
      </c>
      <c r="H17" s="311" t="str">
        <f aca="false">VLOOKUP($A17,'Institution Evaluation'!$A$56:$K$346,8,0)&amp;""</f>
        <v/>
      </c>
      <c r="I17" s="311" t="str">
        <f aca="false">VLOOKUP($A17,'Institution Evaluation'!$A$56:$K$346,9,0)&amp;""</f>
        <v/>
      </c>
      <c r="J17" s="311" t="str">
        <f aca="false">VLOOKUP($A17,'Institution Evaluation'!$A$56:$K$346,10,0)&amp;""</f>
        <v/>
      </c>
      <c r="K17" s="311" t="n">
        <f aca="false">IF($I17="Critical Importance",20,IF($I17="Minor Importance",5,10))</f>
        <v>10</v>
      </c>
      <c r="L17" s="283" t="str">
        <f aca="false">IF($E17="Not Scored", "N/A",IF(AND($D17='Auto Responses'!$J$27,$H17=""),"N/A",IF(AND($D17='Auto Responses'!$J$27,$H17='Auto Responses'!$J$7),1,IF(AND($D17='Auto Responses'!$J$27,$H17='Auto Responses'!$J$8),0,IF(OR($F17=$G17,$H17='Auto Responses'!$J$7),1,0)))))</f>
        <v>N/A</v>
      </c>
      <c r="M17" s="311" t="str">
        <f aca="false">VLOOKUP($A17,'Institution Evaluation'!$A$56:$K$346,10,0)&amp;""</f>
        <v/>
      </c>
      <c r="N17" s="311" t="n">
        <f aca="false">IF($J17="Critical Importance",1,IF(AND($J17="",$I17="Critical Importance"),1,0))</f>
        <v>0</v>
      </c>
      <c r="O17" s="283" t="str">
        <f aca="false">IF($E17="Not Scored","N/A",IF($J17="",$K17,IF($J17="Minor Importance",5,IF($J17="Standard Importance",10,IF($J17="Critical Importance",20,0)))))</f>
        <v>N/A</v>
      </c>
      <c r="P17" s="283" t="str">
        <f aca="false">IF(OR($O17="N/A",$L17="N/A"),"N/A",$O17*$L17)</f>
        <v>N/A</v>
      </c>
      <c r="Q17" s="283" t="n">
        <f aca="false">IF(M17="TRUE",1,0)</f>
        <v>0</v>
      </c>
      <c r="R17" s="283" t="n">
        <f aca="false">R16+Q17</f>
        <v>0</v>
      </c>
      <c r="S17" s="283" t="n">
        <f aca="false">IF(Q17=0,0,R17)</f>
        <v>0</v>
      </c>
      <c r="T17" s="283" t="n">
        <f aca="false">IF(N17=1,1,0)</f>
        <v>0</v>
      </c>
      <c r="U17" s="283" t="n">
        <f aca="false">U16+T17</f>
        <v>1</v>
      </c>
      <c r="V17" s="283" t="n">
        <f aca="false">IF(T17=0,0,U17)</f>
        <v>0</v>
      </c>
    </row>
    <row r="18" customFormat="false" ht="26.85" hidden="false" customHeight="false" outlineLevel="0" collapsed="false">
      <c r="A18" s="311" t="str">
        <f aca="false">Questions!$A18</f>
        <v>REQU-02</v>
      </c>
      <c r="B18" s="311" t="str">
        <f aca="false">LEFT(A18,4)</f>
        <v>REQU</v>
      </c>
      <c r="C18" s="311" t="str">
        <f aca="false">VLOOKUP($A18,Questions!$A$3:$L$333,2,0)&amp;""</f>
        <v>Does your product or service have an interface?</v>
      </c>
      <c r="D18" s="311" t="str">
        <f aca="false">VLOOKUP($A18,Questions!$A$3:$L$333,11,0)&amp;""</f>
        <v>NA</v>
      </c>
      <c r="E18" s="311" t="str">
        <f aca="false">VLOOKUP($A18,Questions!$A$3:$L$333,12,0)&amp;""</f>
        <v>Not Scored</v>
      </c>
      <c r="F18" s="311" t="str">
        <f aca="false">VLOOKUP($A18,'Institution Evaluation'!$A$56:$K$346,3,0)&amp;""</f>
        <v>Yes</v>
      </c>
      <c r="G18" s="311" t="str">
        <f aca="false">VLOOKUP($A18,'Institution Evaluation'!$A$56:$K$346,7,0)&amp;""</f>
        <v>Not scored</v>
      </c>
      <c r="H18" s="311" t="str">
        <f aca="false">VLOOKUP($A18,'Institution Evaluation'!$A$56:$K$346,8,0)&amp;""</f>
        <v/>
      </c>
      <c r="I18" s="311" t="str">
        <f aca="false">VLOOKUP($A18,'Institution Evaluation'!$A$56:$K$346,9,0)&amp;""</f>
        <v/>
      </c>
      <c r="J18" s="311" t="str">
        <f aca="false">VLOOKUP($A18,'Institution Evaluation'!$A$56:$K$346,10,0)&amp;""</f>
        <v/>
      </c>
      <c r="K18" s="311" t="n">
        <f aca="false">IF($I18="Critical Importance",20,IF($I18="Minor Importance",5,10))</f>
        <v>10</v>
      </c>
      <c r="L18" s="283" t="str">
        <f aca="false">IF($E18="Not Scored", "N/A",IF(AND($D18='Auto Responses'!$J$27,$H18=""),"N/A",IF(AND($D18='Auto Responses'!$J$27,$H18='Auto Responses'!$J$7),1,IF(AND($D18='Auto Responses'!$J$27,$H18='Auto Responses'!$J$8),0,IF(OR($F18=$G18,$H18='Auto Responses'!$J$7),1,0)))))</f>
        <v>N/A</v>
      </c>
      <c r="M18" s="311" t="str">
        <f aca="false">VLOOKUP($A18,'Institution Evaluation'!$A$56:$K$346,10,0)&amp;""</f>
        <v/>
      </c>
      <c r="N18" s="311" t="n">
        <f aca="false">IF($J18="Critical Importance",1,IF(AND($J18="",$I18="Critical Importance"),1,0))</f>
        <v>0</v>
      </c>
      <c r="O18" s="283" t="str">
        <f aca="false">IF($E18="Not Scored","N/A",IF($J18="",$K18,IF($J18="Minor Importance",5,IF($J18="Standard Importance",10,IF($J18="Critical Importance",20,0)))))</f>
        <v>N/A</v>
      </c>
      <c r="P18" s="283" t="str">
        <f aca="false">IF(OR($O18="N/A",$L18="N/A"),"N/A",$O18*$L18)</f>
        <v>N/A</v>
      </c>
      <c r="Q18" s="283" t="n">
        <f aca="false">IF(M18="TRUE",1,0)</f>
        <v>0</v>
      </c>
      <c r="R18" s="283" t="n">
        <f aca="false">R17+Q18</f>
        <v>0</v>
      </c>
      <c r="S18" s="283" t="n">
        <f aca="false">IF(Q18=0,0,R18)</f>
        <v>0</v>
      </c>
      <c r="T18" s="283" t="n">
        <f aca="false">IF(N18=1,1,0)</f>
        <v>0</v>
      </c>
      <c r="U18" s="283" t="n">
        <f aca="false">U17+T18</f>
        <v>1</v>
      </c>
      <c r="V18" s="283" t="n">
        <f aca="false">IF(T18=0,0,U18)</f>
        <v>0</v>
      </c>
    </row>
    <row r="19" customFormat="false" ht="15" hidden="false" customHeight="false" outlineLevel="0" collapsed="false">
      <c r="A19" s="311" t="str">
        <f aca="false">Questions!$A19</f>
        <v>REQU-03</v>
      </c>
      <c r="B19" s="311" t="str">
        <f aca="false">LEFT(A19,4)</f>
        <v>REQU</v>
      </c>
      <c r="C19" s="311" t="str">
        <f aca="false">VLOOKUP($A19,Questions!$A$3:$L$333,2,0)&amp;""</f>
        <v>Are you providing consulting services?</v>
      </c>
      <c r="D19" s="311" t="str">
        <f aca="false">VLOOKUP($A19,Questions!$A$3:$L$333,11,0)&amp;""</f>
        <v>NA</v>
      </c>
      <c r="E19" s="311" t="str">
        <f aca="false">VLOOKUP($A19,Questions!$A$3:$L$333,12,0)&amp;""</f>
        <v>Not Scored</v>
      </c>
      <c r="F19" s="311" t="str">
        <f aca="false">VLOOKUP($A19,'Institution Evaluation'!$A$56:$K$346,3,0)&amp;""</f>
        <v>No</v>
      </c>
      <c r="G19" s="311" t="str">
        <f aca="false">VLOOKUP($A19,'Institution Evaluation'!$A$56:$K$346,7,0)&amp;""</f>
        <v>Not scored</v>
      </c>
      <c r="H19" s="311" t="str">
        <f aca="false">VLOOKUP($A19,'Institution Evaluation'!$A$56:$K$346,8,0)&amp;""</f>
        <v/>
      </c>
      <c r="I19" s="311" t="str">
        <f aca="false">VLOOKUP($A19,'Institution Evaluation'!$A$56:$K$346,9,0)&amp;""</f>
        <v/>
      </c>
      <c r="J19" s="311" t="str">
        <f aca="false">VLOOKUP($A19,'Institution Evaluation'!$A$56:$K$346,10,0)&amp;""</f>
        <v/>
      </c>
      <c r="K19" s="311" t="n">
        <f aca="false">IF($I19="Critical Importance",20,IF($I19="Minor Importance",5,10))</f>
        <v>10</v>
      </c>
      <c r="L19" s="283" t="str">
        <f aca="false">IF($E19="Not Scored", "N/A",IF(AND($D19='Auto Responses'!$J$27,$H19=""),"N/A",IF(AND($D19='Auto Responses'!$J$27,$H19='Auto Responses'!$J$7),1,IF(AND($D19='Auto Responses'!$J$27,$H19='Auto Responses'!$J$8),0,IF(OR($F19=$G19,$H19='Auto Responses'!$J$7),1,0)))))</f>
        <v>N/A</v>
      </c>
      <c r="M19" s="311" t="str">
        <f aca="false">VLOOKUP($A19,'Institution Evaluation'!$A$56:$K$346,10,0)&amp;""</f>
        <v/>
      </c>
      <c r="N19" s="311" t="n">
        <f aca="false">IF($J19="Critical Importance",1,IF(AND($J19="",$I19="Critical Importance"),1,0))</f>
        <v>0</v>
      </c>
      <c r="O19" s="283" t="str">
        <f aca="false">IF($E19="Not Scored","N/A",IF($J19="",$K19,IF($J19="Minor Importance",5,IF($J19="Standard Importance",10,IF($J19="Critical Importance",20,0)))))</f>
        <v>N/A</v>
      </c>
      <c r="P19" s="283" t="str">
        <f aca="false">IF(OR($O19="N/A",$L19="N/A"),"N/A",$O19*$L19)</f>
        <v>N/A</v>
      </c>
      <c r="Q19" s="283" t="n">
        <f aca="false">IF(M19="TRUE",1,0)</f>
        <v>0</v>
      </c>
      <c r="R19" s="283" t="n">
        <f aca="false">R18+Q19</f>
        <v>0</v>
      </c>
      <c r="S19" s="283" t="n">
        <f aca="false">IF(Q19=0,0,R19)</f>
        <v>0</v>
      </c>
      <c r="T19" s="283" t="n">
        <f aca="false">IF(N19=1,1,0)</f>
        <v>0</v>
      </c>
      <c r="U19" s="283" t="n">
        <f aca="false">U18+T19</f>
        <v>1</v>
      </c>
      <c r="V19" s="283" t="n">
        <f aca="false">IF(T19=0,0,U19)</f>
        <v>0</v>
      </c>
    </row>
    <row r="20" customFormat="false" ht="39.55" hidden="false" customHeight="false" outlineLevel="0" collapsed="false">
      <c r="A20" s="311" t="str">
        <f aca="false">Questions!$A20</f>
        <v>REQU-04</v>
      </c>
      <c r="B20" s="311" t="str">
        <f aca="false">LEFT(A20,4)</f>
        <v>REQU</v>
      </c>
      <c r="C20" s="311" t="str">
        <f aca="false">VLOOKUP($A20,Questions!$A$3:$L$333,2,0)&amp;""</f>
        <v>Does your solution have AI features, or are there plans to implement AI features in the next 12 months?</v>
      </c>
      <c r="D20" s="311" t="str">
        <f aca="false">VLOOKUP($A20,Questions!$A$3:$L$333,11,0)&amp;""</f>
        <v>NA</v>
      </c>
      <c r="E20" s="311" t="str">
        <f aca="false">VLOOKUP($A20,Questions!$A$3:$L$333,12,0)&amp;""</f>
        <v>Not Scored</v>
      </c>
      <c r="F20" s="311" t="str">
        <f aca="false">VLOOKUP($A20,'Institution Evaluation'!$A$56:$K$346,3,0)&amp;""</f>
        <v>No</v>
      </c>
      <c r="G20" s="311" t="str">
        <f aca="false">VLOOKUP($A20,'Institution Evaluation'!$A$56:$K$346,7,0)&amp;""</f>
        <v>Not scored</v>
      </c>
      <c r="H20" s="311" t="str">
        <f aca="false">VLOOKUP($A20,'Institution Evaluation'!$A$56:$K$346,8,0)&amp;""</f>
        <v/>
      </c>
      <c r="I20" s="311" t="str">
        <f aca="false">VLOOKUP($A20,'Institution Evaluation'!$A$56:$K$346,9,0)&amp;""</f>
        <v/>
      </c>
      <c r="J20" s="311" t="str">
        <f aca="false">VLOOKUP($A20,'Institution Evaluation'!$A$56:$K$346,10,0)&amp;""</f>
        <v/>
      </c>
      <c r="K20" s="311" t="n">
        <f aca="false">IF($I20="Critical Importance",20,IF($I20="Minor Importance",5,10))</f>
        <v>10</v>
      </c>
      <c r="L20" s="283" t="str">
        <f aca="false">IF($E20="Not Scored", "N/A",IF(AND($D20='Auto Responses'!$J$27,$H20=""),"N/A",IF(AND($D20='Auto Responses'!$J$27,$H20='Auto Responses'!$J$7),1,IF(AND($D20='Auto Responses'!$J$27,$H20='Auto Responses'!$J$8),0,IF(OR($F20=$G20,$H20='Auto Responses'!$J$7),1,0)))))</f>
        <v>N/A</v>
      </c>
      <c r="M20" s="311" t="str">
        <f aca="false">VLOOKUP($A20,'Institution Evaluation'!$A$56:$K$346,10,0)&amp;""</f>
        <v/>
      </c>
      <c r="N20" s="311" t="n">
        <f aca="false">IF($J20="Critical Importance",1,IF(AND($J20="",$I20="Critical Importance"),1,0))</f>
        <v>0</v>
      </c>
      <c r="O20" s="283" t="str">
        <f aca="false">IF($E20="Not Scored","N/A",IF($J20="",$K20,IF($J20="Minor Importance",5,IF($J20="Standard Importance",10,IF($J20="Critical Importance",20,0)))))</f>
        <v>N/A</v>
      </c>
      <c r="P20" s="283" t="str">
        <f aca="false">IF(OR($O20="N/A",$L20="N/A"),"N/A",$O20*$L20)</f>
        <v>N/A</v>
      </c>
      <c r="Q20" s="283" t="n">
        <f aca="false">IF(M20="TRUE",1,0)</f>
        <v>0</v>
      </c>
      <c r="R20" s="283" t="n">
        <f aca="false">R19+Q20</f>
        <v>0</v>
      </c>
      <c r="S20" s="283" t="n">
        <f aca="false">IF(Q20=0,0,R20)</f>
        <v>0</v>
      </c>
      <c r="T20" s="283" t="n">
        <f aca="false">IF(N20=1,1,0)</f>
        <v>0</v>
      </c>
      <c r="U20" s="283" t="n">
        <f aca="false">U19+T20</f>
        <v>1</v>
      </c>
      <c r="V20" s="283" t="n">
        <f aca="false">IF(T20=0,0,U20)</f>
        <v>0</v>
      </c>
    </row>
    <row r="21" customFormat="false" ht="52.2" hidden="false" customHeight="false" outlineLevel="0" collapsed="false">
      <c r="A21" s="311" t="str">
        <f aca="false">Questions!$A21</f>
        <v>REQU-05</v>
      </c>
      <c r="B21" s="311" t="str">
        <f aca="false">LEFT(A21,4)</f>
        <v>REQU</v>
      </c>
      <c r="C21" s="311" t="str">
        <f aca="false">VLOOKUP($A21,Questions!$A$3:$L$333,2,0)&amp;""</f>
        <v>Does your solution process protected health information (PHI) or any data covered by the Health Insurance Portability and Accountability Act (HIPAA)?</v>
      </c>
      <c r="D21" s="311" t="str">
        <f aca="false">VLOOKUP($A21,Questions!$A$3:$L$333,11,0)&amp;""</f>
        <v>NA</v>
      </c>
      <c r="E21" s="311" t="str">
        <f aca="false">VLOOKUP($A21,Questions!$A$3:$L$333,12,0)&amp;""</f>
        <v>Not Scored</v>
      </c>
      <c r="F21" s="311" t="str">
        <f aca="false">VLOOKUP($A21,'Institution Evaluation'!$A$56:$K$346,3,0)&amp;""</f>
        <v>No</v>
      </c>
      <c r="G21" s="311" t="str">
        <f aca="false">VLOOKUP($A21,'Institution Evaluation'!$A$56:$K$346,7,0)&amp;""</f>
        <v>Not scored</v>
      </c>
      <c r="H21" s="311" t="str">
        <f aca="false">VLOOKUP($A21,'Institution Evaluation'!$A$56:$K$346,8,0)&amp;""</f>
        <v/>
      </c>
      <c r="I21" s="311" t="str">
        <f aca="false">VLOOKUP($A21,'Institution Evaluation'!$A$56:$K$346,9,0)&amp;""</f>
        <v/>
      </c>
      <c r="J21" s="311" t="str">
        <f aca="false">VLOOKUP($A21,'Institution Evaluation'!$A$56:$K$346,10,0)&amp;""</f>
        <v/>
      </c>
      <c r="K21" s="311" t="n">
        <f aca="false">IF($I21="Critical Importance",20,IF($I21="Minor Importance",5,10))</f>
        <v>10</v>
      </c>
      <c r="L21" s="283" t="str">
        <f aca="false">IF($E21="Not Scored", "N/A",IF(AND($D21='Auto Responses'!$J$27,$H21=""),"N/A",IF(AND($D21='Auto Responses'!$J$27,$H21='Auto Responses'!$J$7),1,IF(AND($D21='Auto Responses'!$J$27,$H21='Auto Responses'!$J$8),0,IF(OR($F21=$G21,$H21='Auto Responses'!$J$7),1,0)))))</f>
        <v>N/A</v>
      </c>
      <c r="M21" s="311" t="str">
        <f aca="false">VLOOKUP($A21,'Institution Evaluation'!$A$56:$K$346,10,0)&amp;""</f>
        <v/>
      </c>
      <c r="N21" s="311" t="n">
        <f aca="false">IF($J21="Critical Importance",1,IF(AND($J21="",$I21="Critical Importance"),1,0))</f>
        <v>0</v>
      </c>
      <c r="O21" s="283" t="str">
        <f aca="false">IF($E21="Not Scored","N/A",IF($J21="",$K21,IF($J21="Minor Importance",5,IF($J21="Standard Importance",10,IF($J21="Critical Importance",20,0)))))</f>
        <v>N/A</v>
      </c>
      <c r="P21" s="283" t="str">
        <f aca="false">IF(OR($O21="N/A",$L21="N/A"),"N/A",$O21*$L21)</f>
        <v>N/A</v>
      </c>
      <c r="Q21" s="283" t="n">
        <f aca="false">IF(M21="TRUE",1,0)</f>
        <v>0</v>
      </c>
      <c r="R21" s="283" t="n">
        <f aca="false">R20+Q21</f>
        <v>0</v>
      </c>
      <c r="S21" s="283" t="n">
        <f aca="false">IF(Q21=0,0,R21)</f>
        <v>0</v>
      </c>
      <c r="T21" s="283" t="n">
        <f aca="false">IF(N21=1,1,0)</f>
        <v>0</v>
      </c>
      <c r="U21" s="283" t="n">
        <f aca="false">U20+T21</f>
        <v>1</v>
      </c>
      <c r="V21" s="283" t="n">
        <f aca="false">IF(T21=0,0,U21)</f>
        <v>0</v>
      </c>
    </row>
    <row r="22" customFormat="false" ht="26.85" hidden="false" customHeight="false" outlineLevel="0" collapsed="false">
      <c r="A22" s="311" t="str">
        <f aca="false">Questions!$A22</f>
        <v>REQU-06</v>
      </c>
      <c r="B22" s="311" t="str">
        <f aca="false">LEFT(A22,4)</f>
        <v>REQU</v>
      </c>
      <c r="C22" s="311" t="str">
        <f aca="false">VLOOKUP($A22,Questions!$A$3:$L$333,2,0)&amp;""</f>
        <v>Is the solution designed to process, store, or transmit credit card information?</v>
      </c>
      <c r="D22" s="311" t="str">
        <f aca="false">VLOOKUP($A22,Questions!$A$3:$L$333,11,0)&amp;""</f>
        <v>NA</v>
      </c>
      <c r="E22" s="311" t="str">
        <f aca="false">VLOOKUP($A22,Questions!$A$3:$L$333,12,0)&amp;""</f>
        <v>Not Scored</v>
      </c>
      <c r="F22" s="311" t="str">
        <f aca="false">VLOOKUP($A22,'Institution Evaluation'!$A$56:$K$346,3,0)&amp;""</f>
        <v>No</v>
      </c>
      <c r="G22" s="311" t="str">
        <f aca="false">VLOOKUP($A22,'Institution Evaluation'!$A$56:$K$346,7,0)&amp;""</f>
        <v>Not scored</v>
      </c>
      <c r="H22" s="311" t="str">
        <f aca="false">VLOOKUP($A22,'Institution Evaluation'!$A$56:$K$346,8,0)&amp;""</f>
        <v/>
      </c>
      <c r="I22" s="311" t="str">
        <f aca="false">VLOOKUP($A22,'Institution Evaluation'!$A$56:$K$346,9,0)&amp;""</f>
        <v/>
      </c>
      <c r="J22" s="311" t="str">
        <f aca="false">VLOOKUP($A22,'Institution Evaluation'!$A$56:$K$346,10,0)&amp;""</f>
        <v/>
      </c>
      <c r="K22" s="311" t="n">
        <f aca="false">IF($I22="Critical Importance",20,IF($I22="Minor Importance",5,10))</f>
        <v>10</v>
      </c>
      <c r="L22" s="283" t="str">
        <f aca="false">IF($E22="Not Scored", "N/A",IF(AND($D22='Auto Responses'!$J$27,$H22=""),"N/A",IF(AND($D22='Auto Responses'!$J$27,$H22='Auto Responses'!$J$7),1,IF(AND($D22='Auto Responses'!$J$27,$H22='Auto Responses'!$J$8),0,IF(OR($F22=$G22,$H22='Auto Responses'!$J$7),1,0)))))</f>
        <v>N/A</v>
      </c>
      <c r="M22" s="311" t="str">
        <f aca="false">VLOOKUP($A22,'Institution Evaluation'!$A$56:$K$346,10,0)&amp;""</f>
        <v/>
      </c>
      <c r="N22" s="311" t="n">
        <f aca="false">IF($J22="Critical Importance",1,IF(AND($J22="",$I22="Critical Importance"),1,0))</f>
        <v>0</v>
      </c>
      <c r="O22" s="283" t="str">
        <f aca="false">IF($E22="Not Scored","N/A",IF($J22="",$K22,IF($J22="Minor Importance",5,IF($J22="Standard Importance",10,IF($J22="Critical Importance",20,0)))))</f>
        <v>N/A</v>
      </c>
      <c r="P22" s="283" t="str">
        <f aca="false">IF(OR($O22="N/A",$L22="N/A"),"N/A",$O22*$L22)</f>
        <v>N/A</v>
      </c>
      <c r="Q22" s="283" t="n">
        <f aca="false">IF(M22="TRUE",1,0)</f>
        <v>0</v>
      </c>
      <c r="R22" s="283" t="n">
        <f aca="false">R21+Q22</f>
        <v>0</v>
      </c>
      <c r="S22" s="283" t="n">
        <f aca="false">IF(Q22=0,0,R22)</f>
        <v>0</v>
      </c>
      <c r="T22" s="283" t="n">
        <f aca="false">IF(N22=1,1,0)</f>
        <v>0</v>
      </c>
      <c r="U22" s="283" t="n">
        <f aca="false">U21+T22</f>
        <v>1</v>
      </c>
      <c r="V22" s="283" t="n">
        <f aca="false">IF(T22=0,0,U22)</f>
        <v>0</v>
      </c>
    </row>
    <row r="23" customFormat="false" ht="77.6" hidden="false" customHeight="false" outlineLevel="0" collapsed="false">
      <c r="A23" s="311" t="str">
        <f aca="false">Questions!$A23</f>
        <v>REQU-07</v>
      </c>
      <c r="B23" s="311" t="str">
        <f aca="false">LEFT(A23,4)</f>
        <v>REQU</v>
      </c>
      <c r="C23" s="311" t="str">
        <f aca="false">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311" t="str">
        <f aca="false">VLOOKUP($A23,Questions!$A$3:$L$333,11,0)&amp;""</f>
        <v>NA</v>
      </c>
      <c r="E23" s="311" t="str">
        <f aca="false">VLOOKUP($A23,Questions!$A$3:$L$333,12,0)&amp;""</f>
        <v>Not Scored</v>
      </c>
      <c r="F23" s="311" t="str">
        <f aca="false">VLOOKUP($A23,'Institution Evaluation'!$A$56:$K$346,3,0)&amp;""</f>
        <v>No</v>
      </c>
      <c r="G23" s="311" t="str">
        <f aca="false">VLOOKUP($A23,'Institution Evaluation'!$A$56:$K$346,7,0)&amp;""</f>
        <v>Not scored</v>
      </c>
      <c r="H23" s="311" t="str">
        <f aca="false">VLOOKUP($A23,'Institution Evaluation'!$A$56:$K$346,8,0)&amp;""</f>
        <v/>
      </c>
      <c r="I23" s="311" t="str">
        <f aca="false">VLOOKUP($A23,'Institution Evaluation'!$A$56:$K$346,9,0)&amp;""</f>
        <v/>
      </c>
      <c r="J23" s="311" t="str">
        <f aca="false">VLOOKUP($A23,'Institution Evaluation'!$A$56:$K$346,10,0)&amp;""</f>
        <v/>
      </c>
      <c r="K23" s="311" t="n">
        <f aca="false">IF($I23="Critical Importance",20,IF($I23="Minor Importance",5,10))</f>
        <v>10</v>
      </c>
      <c r="L23" s="283" t="str">
        <f aca="false">IF($E23="Not Scored", "N/A",IF(AND($D23='Auto Responses'!$J$27,$H23=""),"N/A",IF(AND($D23='Auto Responses'!$J$27,$H23='Auto Responses'!$J$7),1,IF(AND($D23='Auto Responses'!$J$27,$H23='Auto Responses'!$J$8),0,IF(OR($F23=$G23,$H23='Auto Responses'!$J$7),1,0)))))</f>
        <v>N/A</v>
      </c>
      <c r="M23" s="311" t="str">
        <f aca="false">VLOOKUP($A23,'Institution Evaluation'!$A$56:$K$346,10,0)&amp;""</f>
        <v/>
      </c>
      <c r="N23" s="311" t="n">
        <f aca="false">IF($J23="Critical Importance",1,IF(AND($J23="",$I23="Critical Importance"),1,0))</f>
        <v>0</v>
      </c>
      <c r="O23" s="283" t="str">
        <f aca="false">IF($E23="Not Scored","N/A",IF($J23="",$K23,IF($J23="Minor Importance",5,IF($J23="Standard Importance",10,IF($J23="Critical Importance",20,0)))))</f>
        <v>N/A</v>
      </c>
      <c r="P23" s="283" t="str">
        <f aca="false">IF(OR($O23="N/A",$L23="N/A"),"N/A",$O23*$L23)</f>
        <v>N/A</v>
      </c>
      <c r="Q23" s="283" t="n">
        <f aca="false">IF(M23="TRUE",1,0)</f>
        <v>0</v>
      </c>
      <c r="R23" s="283" t="n">
        <f aca="false">R22+Q23</f>
        <v>0</v>
      </c>
      <c r="S23" s="283" t="n">
        <f aca="false">IF(Q23=0,0,R23)</f>
        <v>0</v>
      </c>
      <c r="T23" s="283" t="n">
        <f aca="false">IF(N23=1,1,0)</f>
        <v>0</v>
      </c>
      <c r="U23" s="283" t="n">
        <f aca="false">U22+T23</f>
        <v>1</v>
      </c>
      <c r="V23" s="283" t="n">
        <f aca="false">IF(T23=0,0,U23)</f>
        <v>0</v>
      </c>
    </row>
    <row r="24" customFormat="false" ht="26.85" hidden="false" customHeight="false" outlineLevel="0" collapsed="false">
      <c r="A24" s="311" t="str">
        <f aca="false">Questions!$A24</f>
        <v>REQU-08</v>
      </c>
      <c r="B24" s="311" t="str">
        <f aca="false">LEFT(A24,4)</f>
        <v>REQU</v>
      </c>
      <c r="C24" s="311" t="str">
        <f aca="false">VLOOKUP($A24,Questions!$A$3:$L$333,2,0)&amp;""</f>
        <v>Does your solution have access to personal or institutional data?</v>
      </c>
      <c r="D24" s="311" t="str">
        <f aca="false">VLOOKUP($A24,Questions!$A$3:$L$333,11,0)&amp;""</f>
        <v>NA</v>
      </c>
      <c r="E24" s="311" t="str">
        <f aca="false">VLOOKUP($A24,Questions!$A$3:$L$333,12,0)&amp;""</f>
        <v>Not Scored</v>
      </c>
      <c r="F24" s="311" t="str">
        <f aca="false">VLOOKUP($A24,'Institution Evaluation'!$A$56:$K$346,3,0)&amp;""</f>
        <v>No</v>
      </c>
      <c r="G24" s="311" t="str">
        <f aca="false">VLOOKUP($A24,'Institution Evaluation'!$A$56:$K$346,7,0)&amp;""</f>
        <v>Not scored</v>
      </c>
      <c r="H24" s="311" t="str">
        <f aca="false">VLOOKUP($A24,'Institution Evaluation'!$A$56:$K$346,8,0)&amp;""</f>
        <v/>
      </c>
      <c r="I24" s="311" t="str">
        <f aca="false">VLOOKUP($A24,'Institution Evaluation'!$A$56:$K$346,9,0)&amp;""</f>
        <v/>
      </c>
      <c r="J24" s="311" t="str">
        <f aca="false">VLOOKUP($A24,'Institution Evaluation'!$A$56:$K$346,10,0)&amp;""</f>
        <v/>
      </c>
      <c r="K24" s="311" t="n">
        <f aca="false">IF($I24="Critical Importance",20,IF($I24="Minor Importance",5,10))</f>
        <v>10</v>
      </c>
      <c r="L24" s="283" t="str">
        <f aca="false">IF($E24="Not Scored", "N/A",IF(AND($D24='Auto Responses'!$J$27,$H24=""),"N/A",IF(AND($D24='Auto Responses'!$J$27,$H24='Auto Responses'!$J$7),1,IF(AND($D24='Auto Responses'!$J$27,$H24='Auto Responses'!$J$8),0,IF(OR($F24=$G24,$H24='Auto Responses'!$J$7),1,0)))))</f>
        <v>N/A</v>
      </c>
      <c r="M24" s="311" t="str">
        <f aca="false">VLOOKUP($A24,'Institution Evaluation'!$A$56:$K$346,10,0)&amp;""</f>
        <v/>
      </c>
      <c r="N24" s="311" t="n">
        <f aca="false">IF($J24="Critical Importance",1,IF(AND($J24="",$I24="Critical Importance"),1,0))</f>
        <v>0</v>
      </c>
      <c r="O24" s="283" t="str">
        <f aca="false">IF($E24="Not Scored","N/A",IF($J24="",$K24,IF($J24="Minor Importance",5,IF($J24="Standard Importance",10,IF($J24="Critical Importance",20,0)))))</f>
        <v>N/A</v>
      </c>
      <c r="P24" s="283" t="str">
        <f aca="false">IF(OR($O24="N/A",$L24="N/A"),"N/A",$O24*$L24)</f>
        <v>N/A</v>
      </c>
      <c r="Q24" s="283" t="n">
        <f aca="false">IF(M24="TRUE",1,0)</f>
        <v>0</v>
      </c>
      <c r="R24" s="283" t="n">
        <f aca="false">R23+Q24</f>
        <v>0</v>
      </c>
      <c r="S24" s="283" t="n">
        <f aca="false">IF(Q24=0,0,R24)</f>
        <v>0</v>
      </c>
      <c r="T24" s="283" t="n">
        <f aca="false">IF(N24=1,1,0)</f>
        <v>0</v>
      </c>
      <c r="U24" s="283" t="n">
        <f aca="false">U23+T24</f>
        <v>1</v>
      </c>
      <c r="V24" s="283" t="n">
        <f aca="false">IF(T24=0,0,U24)</f>
        <v>0</v>
      </c>
    </row>
    <row r="25" customFormat="false" ht="39.55" hidden="false" customHeight="false" outlineLevel="0" collapsed="false">
      <c r="A25" s="311" t="str">
        <f aca="false">Questions!$A25</f>
        <v>DOCU-01</v>
      </c>
      <c r="B25" s="311" t="str">
        <f aca="false">LEFT(A25,4)</f>
        <v>DOCU</v>
      </c>
      <c r="C25" s="311" t="str">
        <f aca="false">VLOOKUP($A25,Questions!$A$3:$L$333,2,0)&amp;""</f>
        <v>Do you have a well-documented business continuity plan (BCP), with a clear owner, that is tested annually?*</v>
      </c>
      <c r="D25" s="311" t="str">
        <f aca="false">VLOOKUP($A25,Questions!$A$3:$L$333,11,0)&amp;""</f>
        <v/>
      </c>
      <c r="E25" s="311" t="str">
        <f aca="false">VLOOKUP($A25,Questions!$A$3:$L$333,12,0)&amp;""</f>
        <v>Organization</v>
      </c>
      <c r="F25" s="311" t="str">
        <f aca="false">VLOOKUP($A25,'Institution Evaluation'!$A$56:$K$346,3,0)&amp;""</f>
        <v>No</v>
      </c>
      <c r="G25" s="311" t="str">
        <f aca="false">VLOOKUP($A25,'Institution Evaluation'!$A$56:$K$346,7,0)&amp;""</f>
        <v>Yes</v>
      </c>
      <c r="H25" s="311" t="str">
        <f aca="false">VLOOKUP($A25,'Institution Evaluation'!$A$56:$K$346,8,0)&amp;""</f>
        <v/>
      </c>
      <c r="I25" s="311" t="str">
        <f aca="false">VLOOKUP($A25,'Institution Evaluation'!$A$56:$K$346,9,0)&amp;""</f>
        <v>Critical Importance</v>
      </c>
      <c r="J25" s="311" t="str">
        <f aca="false">VLOOKUP($A25,'Institution Evaluation'!$A$56:$K$346,10,0)&amp;""</f>
        <v/>
      </c>
      <c r="K25" s="311" t="n">
        <f aca="false">IF($I25="Critical Importance",20,IF($I25="Minor Importance",5,10))</f>
        <v>20</v>
      </c>
      <c r="L25" s="283" t="n">
        <f aca="false">IF($E25="Not Scored", "N/A",IF(AND($D25='Auto Responses'!$J$27,$H25=""),"N/A",IF(AND($D25='Auto Responses'!$J$27,$H25='Auto Responses'!$J$7),1,IF(AND($D25='Auto Responses'!$J$27,$H25='Auto Responses'!$J$8),0,IF(OR($F25=$G25,$H25='Auto Responses'!$J$7),1,0)))))</f>
        <v>0</v>
      </c>
      <c r="M25" s="311" t="str">
        <f aca="false">VLOOKUP($A25,'Institution Evaluation'!$A$56:$K$346,10,0)&amp;""</f>
        <v/>
      </c>
      <c r="N25" s="311" t="n">
        <f aca="false">IF($J25="Critical Importance",1,IF(AND($J25="",$I25="Critical Importance"),1,0))</f>
        <v>1</v>
      </c>
      <c r="O25" s="283" t="n">
        <f aca="false">IF($E25="Not Scored","N/A",IF($J25="",$K25,IF($J25="Minor Importance",5,IF($J25="Standard Importance",10,IF($J25="Critical Importance",20,0)))))</f>
        <v>20</v>
      </c>
      <c r="P25" s="283" t="n">
        <f aca="false">IF(OR($O25="N/A",$L25="N/A"),"N/A",$O25*$L25)</f>
        <v>0</v>
      </c>
      <c r="Q25" s="283" t="n">
        <f aca="false">IF(M25="TRUE",1,0)</f>
        <v>0</v>
      </c>
      <c r="R25" s="283" t="n">
        <f aca="false">R24+Q25</f>
        <v>0</v>
      </c>
      <c r="S25" s="283" t="n">
        <f aca="false">IF(Q25=0,0,R25)</f>
        <v>0</v>
      </c>
      <c r="T25" s="283" t="n">
        <f aca="false">IF(N25=1,1,0)</f>
        <v>1</v>
      </c>
      <c r="U25" s="283" t="n">
        <f aca="false">U24+T25</f>
        <v>2</v>
      </c>
      <c r="V25" s="283" t="n">
        <f aca="false">IF(T25=0,0,U25)</f>
        <v>2</v>
      </c>
    </row>
    <row r="26" customFormat="false" ht="39.55" hidden="false" customHeight="false" outlineLevel="0" collapsed="false">
      <c r="A26" s="311" t="str">
        <f aca="false">Questions!$A26</f>
        <v>DOCU-02</v>
      </c>
      <c r="B26" s="311" t="str">
        <f aca="false">LEFT(A26,4)</f>
        <v>DOCU</v>
      </c>
      <c r="C26" s="311" t="str">
        <f aca="false">VLOOKUP($A26,Questions!$A$3:$L$333,2,0)&amp;""</f>
        <v>Do you have a well-documented disaster recovery plan (DRP), with a clear owner, that is tested annually?*</v>
      </c>
      <c r="D26" s="311" t="str">
        <f aca="false">VLOOKUP($A26,Questions!$A$3:$L$333,11,0)&amp;""</f>
        <v/>
      </c>
      <c r="E26" s="311" t="str">
        <f aca="false">VLOOKUP($A26,Questions!$A$3:$L$333,12,0)&amp;""</f>
        <v>Organization</v>
      </c>
      <c r="F26" s="311" t="str">
        <f aca="false">VLOOKUP($A26,'Institution Evaluation'!$A$56:$K$346,3,0)&amp;""</f>
        <v>No</v>
      </c>
      <c r="G26" s="311" t="str">
        <f aca="false">VLOOKUP($A26,'Institution Evaluation'!$A$56:$K$346,7,0)&amp;""</f>
        <v>Yes</v>
      </c>
      <c r="H26" s="311" t="str">
        <f aca="false">VLOOKUP($A26,'Institution Evaluation'!$A$56:$K$346,8,0)&amp;""</f>
        <v/>
      </c>
      <c r="I26" s="311" t="str">
        <f aca="false">VLOOKUP($A26,'Institution Evaluation'!$A$56:$K$346,9,0)&amp;""</f>
        <v>Critical Importance</v>
      </c>
      <c r="J26" s="311" t="str">
        <f aca="false">VLOOKUP($A26,'Institution Evaluation'!$A$56:$K$346,10,0)&amp;""</f>
        <v/>
      </c>
      <c r="K26" s="311" t="n">
        <f aca="false">IF($I26="Critical Importance",20,IF($I26="Minor Importance",5,10))</f>
        <v>20</v>
      </c>
      <c r="L26" s="283" t="n">
        <f aca="false">IF($E26="Not Scored", "N/A",IF(AND($D26='Auto Responses'!$J$27,$H26=""),"N/A",IF(AND($D26='Auto Responses'!$J$27,$H26='Auto Responses'!$J$7),1,IF(AND($D26='Auto Responses'!$J$27,$H26='Auto Responses'!$J$8),0,IF(OR($F26=$G26,$H26='Auto Responses'!$J$7),1,0)))))</f>
        <v>0</v>
      </c>
      <c r="M26" s="311" t="str">
        <f aca="false">VLOOKUP($A26,'Institution Evaluation'!$A$56:$K$346,10,0)&amp;""</f>
        <v/>
      </c>
      <c r="N26" s="311" t="n">
        <f aca="false">IF($J26="Critical Importance",1,IF(AND($J26="",$I26="Critical Importance"),1,0))</f>
        <v>1</v>
      </c>
      <c r="O26" s="283" t="n">
        <f aca="false">IF($E26="Not Scored","N/A",IF($J26="",$K26,IF($J26="Minor Importance",5,IF($J26="Standard Importance",10,IF($J26="Critical Importance",20,0)))))</f>
        <v>20</v>
      </c>
      <c r="P26" s="283" t="n">
        <f aca="false">IF(OR($O26="N/A",$L26="N/A"),"N/A",$O26*$L26)</f>
        <v>0</v>
      </c>
      <c r="Q26" s="283" t="n">
        <f aca="false">IF(M26="TRUE",1,0)</f>
        <v>0</v>
      </c>
      <c r="R26" s="283" t="n">
        <f aca="false">R25+Q26</f>
        <v>0</v>
      </c>
      <c r="S26" s="283" t="n">
        <f aca="false">IF(Q26=0,0,R26)</f>
        <v>0</v>
      </c>
      <c r="T26" s="283" t="n">
        <f aca="false">IF(N26=1,1,0)</f>
        <v>1</v>
      </c>
      <c r="U26" s="283" t="n">
        <f aca="false">U25+T26</f>
        <v>3</v>
      </c>
      <c r="V26" s="283" t="n">
        <f aca="false">IF(T26=0,0,U26)</f>
        <v>3</v>
      </c>
    </row>
    <row r="27" customFormat="false" ht="26.85" hidden="false" customHeight="false" outlineLevel="0" collapsed="false">
      <c r="A27" s="311" t="str">
        <f aca="false">Questions!$A27</f>
        <v>DOCU-03</v>
      </c>
      <c r="B27" s="311" t="str">
        <f aca="false">LEFT(A27,4)</f>
        <v>DOCU</v>
      </c>
      <c r="C27" s="311" t="str">
        <f aca="false">VLOOKUP($A27,Questions!$A$3:$L$333,2,0)&amp;""</f>
        <v>Have you undergone a SSAE 18/SOC 2 audit?</v>
      </c>
      <c r="D27" s="311" t="str">
        <f aca="false">VLOOKUP($A27,Questions!$A$3:$L$333,11,0)&amp;""</f>
        <v/>
      </c>
      <c r="E27" s="311" t="str">
        <f aca="false">VLOOKUP($A27,Questions!$A$3:$L$333,12,0)&amp;""</f>
        <v>Organization</v>
      </c>
      <c r="F27" s="311" t="str">
        <f aca="false">VLOOKUP($A27,'Institution Evaluation'!$A$56:$K$346,3,0)&amp;""</f>
        <v>No</v>
      </c>
      <c r="G27" s="311" t="str">
        <f aca="false">VLOOKUP($A27,'Institution Evaluation'!$A$56:$K$346,7,0)&amp;""</f>
        <v>Yes</v>
      </c>
      <c r="H27" s="311" t="str">
        <f aca="false">VLOOKUP($A27,'Institution Evaluation'!$A$56:$K$346,8,0)&amp;""</f>
        <v/>
      </c>
      <c r="I27" s="311" t="str">
        <f aca="false">VLOOKUP($A27,'Institution Evaluation'!$A$56:$K$346,9,0)&amp;""</f>
        <v>Standard Importance</v>
      </c>
      <c r="J27" s="311" t="str">
        <f aca="false">VLOOKUP($A27,'Institution Evaluation'!$A$56:$K$346,10,0)&amp;""</f>
        <v/>
      </c>
      <c r="K27" s="311" t="n">
        <f aca="false">IF($I27="Critical Importance",20,IF($I27="Minor Importance",5,10))</f>
        <v>10</v>
      </c>
      <c r="L27" s="283" t="n">
        <f aca="false">IF($E27="Not Scored", "N/A",IF(AND($D27='Auto Responses'!$J$27,$H27=""),"N/A",IF(AND($D27='Auto Responses'!$J$27,$H27='Auto Responses'!$J$7),1,IF(AND($D27='Auto Responses'!$J$27,$H27='Auto Responses'!$J$8),0,IF(OR($F27=$G27,$H27='Auto Responses'!$J$7),1,0)))))</f>
        <v>0</v>
      </c>
      <c r="M27" s="311" t="str">
        <f aca="false">VLOOKUP($A27,'Institution Evaluation'!$A$56:$K$346,10,0)&amp;""</f>
        <v/>
      </c>
      <c r="N27" s="311" t="n">
        <f aca="false">IF($J27="Critical Importance",1,IF(AND($J27="",$I27="Critical Importance"),1,0))</f>
        <v>0</v>
      </c>
      <c r="O27" s="283" t="n">
        <f aca="false">IF($E27="Not Scored","N/A",IF($J27="",$K27,IF($J27="Minor Importance",5,IF($J27="Standard Importance",10,IF($J27="Critical Importance",20,0)))))</f>
        <v>10</v>
      </c>
      <c r="P27" s="283" t="n">
        <f aca="false">IF(OR($O27="N/A",$L27="N/A"),"N/A",$O27*$L27)</f>
        <v>0</v>
      </c>
      <c r="Q27" s="283" t="n">
        <f aca="false">IF(M27="TRUE",1,0)</f>
        <v>0</v>
      </c>
      <c r="R27" s="283" t="n">
        <f aca="false">R26+Q27</f>
        <v>0</v>
      </c>
      <c r="S27" s="283" t="n">
        <f aca="false">IF(Q27=0,0,R27)</f>
        <v>0</v>
      </c>
      <c r="T27" s="283" t="n">
        <f aca="false">IF(N27=1,1,0)</f>
        <v>0</v>
      </c>
      <c r="U27" s="283" t="n">
        <f aca="false">U26+T27</f>
        <v>3</v>
      </c>
      <c r="V27" s="283" t="n">
        <f aca="false">IF(T27=0,0,U27)</f>
        <v>0</v>
      </c>
    </row>
    <row r="28" customFormat="false" ht="52.2" hidden="false" customHeight="false" outlineLevel="0" collapsed="false">
      <c r="A28" s="311" t="str">
        <f aca="false">Questions!$A28</f>
        <v>DOCU-04</v>
      </c>
      <c r="B28" s="311" t="str">
        <f aca="false">LEFT(A28,4)</f>
        <v>DOCU</v>
      </c>
      <c r="C28" s="311" t="str">
        <f aca="false">VLOOKUP($A28,Questions!$A$3:$L$333,2,0)&amp;""</f>
        <v>Do you conform with a specific industry standard security framework (e.g., NIST Cybersecurity Framework, CIS Controls, ISO 27001, etc.)?</v>
      </c>
      <c r="D28" s="311" t="str">
        <f aca="false">VLOOKUP($A28,Questions!$A$3:$L$333,11,0)&amp;""</f>
        <v/>
      </c>
      <c r="E28" s="311" t="str">
        <f aca="false">VLOOKUP($A28,Questions!$A$3:$L$333,12,0)&amp;""</f>
        <v>Organization</v>
      </c>
      <c r="F28" s="311" t="str">
        <f aca="false">VLOOKUP($A28,'Institution Evaluation'!$A$56:$K$346,3,0)&amp;""</f>
        <v>No</v>
      </c>
      <c r="G28" s="311" t="str">
        <f aca="false">VLOOKUP($A28,'Institution Evaluation'!$A$56:$K$346,7,0)&amp;""</f>
        <v>Yes</v>
      </c>
      <c r="H28" s="311" t="str">
        <f aca="false">VLOOKUP($A28,'Institution Evaluation'!$A$56:$K$346,8,0)&amp;""</f>
        <v/>
      </c>
      <c r="I28" s="311" t="str">
        <f aca="false">VLOOKUP($A28,'Institution Evaluation'!$A$56:$K$346,9,0)&amp;""</f>
        <v>Standard Importance</v>
      </c>
      <c r="J28" s="311" t="str">
        <f aca="false">VLOOKUP($A28,'Institution Evaluation'!$A$56:$K$346,10,0)&amp;""</f>
        <v/>
      </c>
      <c r="K28" s="311" t="n">
        <f aca="false">IF($I28="Critical Importance",20,IF($I28="Minor Importance",5,10))</f>
        <v>10</v>
      </c>
      <c r="L28" s="283" t="n">
        <f aca="false">IF($E28="Not Scored", "N/A",IF(AND($D28='Auto Responses'!$J$27,$H28=""),"N/A",IF(AND($D28='Auto Responses'!$J$27,$H28='Auto Responses'!$J$7),1,IF(AND($D28='Auto Responses'!$J$27,$H28='Auto Responses'!$J$8),0,IF(OR($F28=$G28,$H28='Auto Responses'!$J$7),1,0)))))</f>
        <v>0</v>
      </c>
      <c r="M28" s="311" t="str">
        <f aca="false">VLOOKUP($A28,'Institution Evaluation'!$A$56:$K$346,10,0)&amp;""</f>
        <v/>
      </c>
      <c r="N28" s="311" t="n">
        <f aca="false">IF($J28="Critical Importance",1,IF(AND($J28="",$I28="Critical Importance"),1,0))</f>
        <v>0</v>
      </c>
      <c r="O28" s="283" t="n">
        <f aca="false">IF($E28="Not Scored","N/A",IF($J28="",$K28,IF($J28="Minor Importance",5,IF($J28="Standard Importance",10,IF($J28="Critical Importance",20,0)))))</f>
        <v>10</v>
      </c>
      <c r="P28" s="283" t="n">
        <f aca="false">IF(OR($O28="N/A",$L28="N/A"),"N/A",$O28*$L28)</f>
        <v>0</v>
      </c>
      <c r="Q28" s="283" t="n">
        <f aca="false">IF(M28="TRUE",1,0)</f>
        <v>0</v>
      </c>
      <c r="R28" s="283" t="n">
        <f aca="false">R27+Q28</f>
        <v>0</v>
      </c>
      <c r="S28" s="283" t="n">
        <f aca="false">IF(Q28=0,0,R28)</f>
        <v>0</v>
      </c>
      <c r="T28" s="283" t="n">
        <f aca="false">IF(N28=1,1,0)</f>
        <v>0</v>
      </c>
      <c r="U28" s="283" t="n">
        <f aca="false">U27+T28</f>
        <v>3</v>
      </c>
      <c r="V28" s="283" t="n">
        <f aca="false">IF(T28=0,0,U28)</f>
        <v>0</v>
      </c>
    </row>
    <row r="29" customFormat="false" ht="52.2" hidden="false" customHeight="false" outlineLevel="0" collapsed="false">
      <c r="A29" s="311" t="str">
        <f aca="false">Questions!$A29</f>
        <v>DOCU-05</v>
      </c>
      <c r="B29" s="311" t="str">
        <f aca="false">LEFT(A29,4)</f>
        <v>DOCU</v>
      </c>
      <c r="C29" s="311" t="str">
        <f aca="false">VLOOKUP($A29,Questions!$A$3:$L$333,2,0)&amp;""</f>
        <v>Can you provide overall system and/or application architecture diagrams, including a full description of the data flow for all components of the system?</v>
      </c>
      <c r="D29" s="311" t="str">
        <f aca="false">VLOOKUP($A29,Questions!$A$3:$L$333,11,0)&amp;""</f>
        <v/>
      </c>
      <c r="E29" s="311" t="str">
        <f aca="false">VLOOKUP($A29,Questions!$A$3:$L$333,12,0)&amp;""</f>
        <v>Organization</v>
      </c>
      <c r="F29" s="311" t="str">
        <f aca="false">VLOOKUP($A29,'Institution Evaluation'!$A$56:$K$346,3,0)&amp;""</f>
        <v>Yes</v>
      </c>
      <c r="G29" s="311" t="str">
        <f aca="false">VLOOKUP($A29,'Institution Evaluation'!$A$56:$K$346,7,0)&amp;""</f>
        <v>Yes</v>
      </c>
      <c r="H29" s="311" t="str">
        <f aca="false">VLOOKUP($A29,'Institution Evaluation'!$A$56:$K$346,8,0)&amp;""</f>
        <v/>
      </c>
      <c r="I29" s="311" t="str">
        <f aca="false">VLOOKUP($A29,'Institution Evaluation'!$A$56:$K$346,9,0)&amp;""</f>
        <v>Standard Importance</v>
      </c>
      <c r="J29" s="311" t="str">
        <f aca="false">VLOOKUP($A29,'Institution Evaluation'!$A$56:$K$346,10,0)&amp;""</f>
        <v/>
      </c>
      <c r="K29" s="311" t="n">
        <f aca="false">IF($I29="Critical Importance",20,IF($I29="Minor Importance",5,10))</f>
        <v>10</v>
      </c>
      <c r="L29" s="283" t="n">
        <f aca="false">IF($E29="Not Scored", "N/A",IF(AND($D29='Auto Responses'!$J$27,$H29=""),"N/A",IF(AND($D29='Auto Responses'!$J$27,$H29='Auto Responses'!$J$7),1,IF(AND($D29='Auto Responses'!$J$27,$H29='Auto Responses'!$J$8),0,IF(OR($F29=$G29,$H29='Auto Responses'!$J$7),1,0)))))</f>
        <v>1</v>
      </c>
      <c r="M29" s="311" t="str">
        <f aca="false">VLOOKUP($A29,'Institution Evaluation'!$A$56:$K$346,10,0)&amp;""</f>
        <v/>
      </c>
      <c r="N29" s="311" t="n">
        <f aca="false">IF($J29="Critical Importance",1,IF(AND($J29="",$I29="Critical Importance"),1,0))</f>
        <v>0</v>
      </c>
      <c r="O29" s="283" t="n">
        <f aca="false">IF($E29="Not Scored","N/A",IF($J29="",$K29,IF($J29="Minor Importance",5,IF($J29="Standard Importance",10,IF($J29="Critical Importance",20,0)))))</f>
        <v>10</v>
      </c>
      <c r="P29" s="283" t="n">
        <f aca="false">IF(OR($O29="N/A",$L29="N/A"),"N/A",$O29*$L29)</f>
        <v>10</v>
      </c>
      <c r="Q29" s="283" t="n">
        <f aca="false">IF(M29="TRUE",1,0)</f>
        <v>0</v>
      </c>
      <c r="R29" s="283" t="n">
        <f aca="false">R28+Q29</f>
        <v>0</v>
      </c>
      <c r="S29" s="283" t="n">
        <f aca="false">IF(Q29=0,0,R29)</f>
        <v>0</v>
      </c>
      <c r="T29" s="283" t="n">
        <f aca="false">IF(N29=1,1,0)</f>
        <v>0</v>
      </c>
      <c r="U29" s="283" t="n">
        <f aca="false">U28+T29</f>
        <v>3</v>
      </c>
      <c r="V29" s="283" t="n">
        <f aca="false">IF(T29=0,0,U29)</f>
        <v>0</v>
      </c>
    </row>
    <row r="30" customFormat="false" ht="26.85" hidden="false" customHeight="false" outlineLevel="0" collapsed="false">
      <c r="A30" s="311" t="str">
        <f aca="false">Questions!$A30</f>
        <v>DOCU-06</v>
      </c>
      <c r="B30" s="311" t="str">
        <f aca="false">LEFT(A30,4)</f>
        <v>DOCU</v>
      </c>
      <c r="C30" s="311" t="str">
        <f aca="false">VLOOKUP($A30,Questions!$A$3:$L$333,2,0)&amp;""</f>
        <v>Does your organization have a data privacy policy?</v>
      </c>
      <c r="D30" s="311" t="str">
        <f aca="false">VLOOKUP($A30,Questions!$A$3:$L$333,11,0)&amp;""</f>
        <v/>
      </c>
      <c r="E30" s="311" t="str">
        <f aca="false">VLOOKUP($A30,Questions!$A$3:$L$333,12,0)&amp;""</f>
        <v>Organization</v>
      </c>
      <c r="F30" s="311" t="str">
        <f aca="false">VLOOKUP($A30,'Institution Evaluation'!$A$56:$K$346,3,0)&amp;""</f>
        <v>No</v>
      </c>
      <c r="G30" s="311" t="str">
        <f aca="false">VLOOKUP($A30,'Institution Evaluation'!$A$56:$K$346,7,0)&amp;""</f>
        <v>Yes</v>
      </c>
      <c r="H30" s="311" t="str">
        <f aca="false">VLOOKUP($A30,'Institution Evaluation'!$A$56:$K$346,8,0)&amp;""</f>
        <v/>
      </c>
      <c r="I30" s="311" t="str">
        <f aca="false">VLOOKUP($A30,'Institution Evaluation'!$A$56:$K$346,9,0)&amp;""</f>
        <v>Standard Importance</v>
      </c>
      <c r="J30" s="311" t="str">
        <f aca="false">VLOOKUP($A30,'Institution Evaluation'!$A$56:$K$346,10,0)&amp;""</f>
        <v/>
      </c>
      <c r="K30" s="311" t="n">
        <f aca="false">IF($I30="Critical Importance",20,IF($I30="Minor Importance",5,10))</f>
        <v>10</v>
      </c>
      <c r="L30" s="283" t="n">
        <f aca="false">IF($E30="Not Scored", "N/A",IF(AND($D30='Auto Responses'!$J$27,$H30=""),"N/A",IF(AND($D30='Auto Responses'!$J$27,$H30='Auto Responses'!$J$7),1,IF(AND($D30='Auto Responses'!$J$27,$H30='Auto Responses'!$J$8),0,IF(OR($F30=$G30,$H30='Auto Responses'!$J$7),1,0)))))</f>
        <v>0</v>
      </c>
      <c r="M30" s="311" t="str">
        <f aca="false">VLOOKUP($A30,'Institution Evaluation'!$A$56:$K$346,10,0)&amp;""</f>
        <v/>
      </c>
      <c r="N30" s="311" t="n">
        <f aca="false">IF($J30="Critical Importance",1,IF(AND($J30="",$I30="Critical Importance"),1,0))</f>
        <v>0</v>
      </c>
      <c r="O30" s="283" t="n">
        <f aca="false">IF($E30="Not Scored","N/A",IF($J30="",$K30,IF($J30="Minor Importance",5,IF($J30="Standard Importance",10,IF($J30="Critical Importance",20,0)))))</f>
        <v>10</v>
      </c>
      <c r="P30" s="283" t="n">
        <f aca="false">IF(OR($O30="N/A",$L30="N/A"),"N/A",$O30*$L30)</f>
        <v>0</v>
      </c>
      <c r="Q30" s="283" t="n">
        <f aca="false">IF(M30="TRUE",1,0)</f>
        <v>0</v>
      </c>
      <c r="R30" s="283" t="n">
        <f aca="false">R29+Q30</f>
        <v>0</v>
      </c>
      <c r="S30" s="283" t="n">
        <f aca="false">IF(Q30=0,0,R30)</f>
        <v>0</v>
      </c>
      <c r="T30" s="283" t="n">
        <f aca="false">IF(N30=1,1,0)</f>
        <v>0</v>
      </c>
      <c r="U30" s="283" t="n">
        <f aca="false">U29+T30</f>
        <v>3</v>
      </c>
      <c r="V30" s="283" t="n">
        <f aca="false">IF(T30=0,0,U30)</f>
        <v>0</v>
      </c>
    </row>
    <row r="31" customFormat="false" ht="39.55" hidden="false" customHeight="false" outlineLevel="0" collapsed="false">
      <c r="A31" s="311" t="str">
        <f aca="false">Questions!$A31</f>
        <v>DOCU-07</v>
      </c>
      <c r="B31" s="311" t="str">
        <f aca="false">LEFT(A31,4)</f>
        <v>DOCU</v>
      </c>
      <c r="C31" s="311" t="str">
        <f aca="false">VLOOKUP($A31,Questions!$A$3:$L$333,2,0)&amp;""</f>
        <v>Do you have a documented, and currently implemented, employee onboarding and offboarding policy?</v>
      </c>
      <c r="D31" s="311" t="str">
        <f aca="false">VLOOKUP($A31,Questions!$A$3:$L$333,11,0)&amp;""</f>
        <v/>
      </c>
      <c r="E31" s="311" t="str">
        <f aca="false">VLOOKUP($A31,Questions!$A$3:$L$333,12,0)&amp;""</f>
        <v>Organization</v>
      </c>
      <c r="F31" s="311" t="str">
        <f aca="false">VLOOKUP($A31,'Institution Evaluation'!$A$56:$K$346,3,0)&amp;""</f>
        <v>Yes</v>
      </c>
      <c r="G31" s="311" t="str">
        <f aca="false">VLOOKUP($A31,'Institution Evaluation'!$A$56:$K$346,7,0)&amp;""</f>
        <v>Yes</v>
      </c>
      <c r="H31" s="311" t="str">
        <f aca="false">VLOOKUP($A31,'Institution Evaluation'!$A$56:$K$346,8,0)&amp;""</f>
        <v/>
      </c>
      <c r="I31" s="311" t="str">
        <f aca="false">VLOOKUP($A31,'Institution Evaluation'!$A$56:$K$346,9,0)&amp;""</f>
        <v>Standard Importance</v>
      </c>
      <c r="J31" s="311" t="str">
        <f aca="false">VLOOKUP($A31,'Institution Evaluation'!$A$56:$K$346,10,0)&amp;""</f>
        <v/>
      </c>
      <c r="K31" s="311" t="n">
        <f aca="false">IF($I31="Critical Importance",20,IF($I31="Minor Importance",5,10))</f>
        <v>10</v>
      </c>
      <c r="L31" s="283" t="n">
        <f aca="false">IF($E31="Not Scored", "N/A",IF(AND($D31='Auto Responses'!$J$27,$H31=""),"N/A",IF(AND($D31='Auto Responses'!$J$27,$H31='Auto Responses'!$J$7),1,IF(AND($D31='Auto Responses'!$J$27,$H31='Auto Responses'!$J$8),0,IF(OR($F31=$G31,$H31='Auto Responses'!$J$7),1,0)))))</f>
        <v>1</v>
      </c>
      <c r="M31" s="311" t="str">
        <f aca="false">VLOOKUP($A31,'Institution Evaluation'!$A$56:$K$346,10,0)&amp;""</f>
        <v/>
      </c>
      <c r="N31" s="311" t="n">
        <f aca="false">IF($J31="Critical Importance",1,IF(AND($J31="",$I31="Critical Importance"),1,0))</f>
        <v>0</v>
      </c>
      <c r="O31" s="283" t="n">
        <f aca="false">IF($E31="Not Scored","N/A",IF($J31="",$K31,IF($J31="Minor Importance",5,IF($J31="Standard Importance",10,IF($J31="Critical Importance",20,0)))))</f>
        <v>10</v>
      </c>
      <c r="P31" s="283" t="n">
        <f aca="false">IF(OR($O31="N/A",$L31="N/A"),"N/A",$O31*$L31)</f>
        <v>10</v>
      </c>
      <c r="Q31" s="283" t="n">
        <f aca="false">IF(M31="TRUE",1,0)</f>
        <v>0</v>
      </c>
      <c r="R31" s="283" t="n">
        <f aca="false">R30+Q31</f>
        <v>0</v>
      </c>
      <c r="S31" s="283" t="n">
        <f aca="false">IF(Q31=0,0,R31)</f>
        <v>0</v>
      </c>
      <c r="T31" s="283" t="n">
        <f aca="false">IF(N31=1,1,0)</f>
        <v>0</v>
      </c>
      <c r="U31" s="283" t="n">
        <f aca="false">U30+T31</f>
        <v>3</v>
      </c>
      <c r="V31" s="283" t="n">
        <f aca="false">IF(T31=0,0,U31)</f>
        <v>0</v>
      </c>
    </row>
    <row r="32" customFormat="false" ht="15" hidden="false" customHeight="false" outlineLevel="0" collapsed="false">
      <c r="A32" s="311" t="str">
        <f aca="false">Questions!$A32</f>
        <v>ITAC-01</v>
      </c>
      <c r="B32" s="311" t="str">
        <f aca="false">LEFT(A32,4)</f>
        <v>ITAC</v>
      </c>
      <c r="C32" s="311" t="str">
        <f aca="false">VLOOKUP($A32,Questions!$A$3:$L$333,2,0)&amp;""</f>
        <v>Solution Provider Accessibility Contact Name</v>
      </c>
      <c r="D32" s="311" t="str">
        <f aca="false">VLOOKUP($A32,Questions!$A$3:$L$333,11,0)&amp;""</f>
        <v>NA</v>
      </c>
      <c r="E32" s="311" t="str">
        <f aca="false">VLOOKUP($A32,Questions!$A$3:$L$333,12,0)&amp;""</f>
        <v>Not Scored</v>
      </c>
      <c r="F32" s="311" t="str">
        <f aca="false">VLOOKUP($A32,'Institution Evaluation'!$A$56:$K$346,3,0)&amp;""</f>
        <v>QGIS US user group</v>
      </c>
      <c r="G32" s="311" t="str">
        <f aca="false">VLOOKUP($A32,'Institution Evaluation'!$A$56:$K$346,7,0)&amp;""</f>
        <v>Not scored</v>
      </c>
      <c r="H32" s="311" t="str">
        <f aca="false">VLOOKUP($A32,'Institution Evaluation'!$A$56:$K$346,8,0)&amp;""</f>
        <v/>
      </c>
      <c r="I32" s="311" t="str">
        <f aca="false">VLOOKUP($A32,'Institution Evaluation'!$A$56:$K$346,9,0)&amp;""</f>
        <v/>
      </c>
      <c r="J32" s="311" t="str">
        <f aca="false">VLOOKUP($A32,'Institution Evaluation'!$A$56:$K$346,10,0)&amp;""</f>
        <v/>
      </c>
      <c r="K32" s="311" t="n">
        <f aca="false">IF($I32="Critical Importance",20,IF($I32="Minor Importance",5,10))</f>
        <v>10</v>
      </c>
      <c r="L32" s="283" t="str">
        <f aca="false">IF($E32="Not Scored", "N/A",IF(AND($D32='Auto Responses'!$J$27,$H32=""),"N/A",IF(AND($D32='Auto Responses'!$J$27,$H32='Auto Responses'!$J$7),1,IF(AND($D32='Auto Responses'!$J$27,$H32='Auto Responses'!$J$8),0,IF(OR($F32=$G32,$H32='Auto Responses'!$J$7),1,0)))))</f>
        <v>N/A</v>
      </c>
      <c r="M32" s="311" t="str">
        <f aca="false">VLOOKUP($A32,'Institution Evaluation'!$A$56:$K$346,10,0)&amp;""</f>
        <v/>
      </c>
      <c r="N32" s="311" t="n">
        <f aca="false">IF($J32="Critical Importance",1,IF(AND($J32="",$I32="Critical Importance"),1,0))</f>
        <v>0</v>
      </c>
      <c r="O32" s="283" t="str">
        <f aca="false">IF(OR($F$18="No",$E32="Not Scored"),"N/A",IF($J32="",$K32,IF($J32="Minor Importance",5,IF($J32="Standard Importance",10,IF($J32="Critical Importance",20,0)))))</f>
        <v>N/A</v>
      </c>
      <c r="P32" s="283" t="str">
        <f aca="false">IF(OR($O32="N/A",$L32="N/A"),"N/A",$O32*$L32)</f>
        <v>N/A</v>
      </c>
      <c r="Q32" s="283" t="n">
        <f aca="false">IF(M32="TRUE",1,0)</f>
        <v>0</v>
      </c>
      <c r="R32" s="283" t="n">
        <f aca="false">R31+Q32</f>
        <v>0</v>
      </c>
      <c r="S32" s="283" t="n">
        <f aca="false">IF(Q32=0,0,R32)</f>
        <v>0</v>
      </c>
      <c r="T32" s="283" t="n">
        <f aca="false">IF(N32=1,1,0)</f>
        <v>0</v>
      </c>
      <c r="U32" s="283" t="n">
        <f aca="false">U31+T32</f>
        <v>3</v>
      </c>
      <c r="V32" s="283" t="n">
        <f aca="false">IF(T32=0,0,U32)</f>
        <v>0</v>
      </c>
    </row>
    <row r="33" customFormat="false" ht="15" hidden="false" customHeight="false" outlineLevel="0" collapsed="false">
      <c r="A33" s="311" t="str">
        <f aca="false">Questions!$A33</f>
        <v>ITAC-02</v>
      </c>
      <c r="B33" s="311" t="str">
        <f aca="false">LEFT(A33,4)</f>
        <v>ITAC</v>
      </c>
      <c r="C33" s="311" t="str">
        <f aca="false">VLOOKUP($A33,Questions!$A$3:$L$333,2,0)&amp;""</f>
        <v>Solution Provider Accessibility Contact Title</v>
      </c>
      <c r="D33" s="311" t="str">
        <f aca="false">VLOOKUP($A33,Questions!$A$3:$L$333,11,0)&amp;""</f>
        <v>NA</v>
      </c>
      <c r="E33" s="311" t="str">
        <f aca="false">VLOOKUP($A33,Questions!$A$3:$L$333,12,0)&amp;""</f>
        <v>Not Scored</v>
      </c>
      <c r="F33" s="311" t="str">
        <f aca="false">VLOOKUP($A33,'Institution Evaluation'!$A$56:$K$346,3,0)&amp;""</f>
        <v>QGIS US user group</v>
      </c>
      <c r="G33" s="311" t="str">
        <f aca="false">VLOOKUP($A33,'Institution Evaluation'!$A$56:$K$346,7,0)&amp;""</f>
        <v>Not scored</v>
      </c>
      <c r="H33" s="311" t="str">
        <f aca="false">VLOOKUP($A33,'Institution Evaluation'!$A$56:$K$346,8,0)&amp;""</f>
        <v/>
      </c>
      <c r="I33" s="311" t="str">
        <f aca="false">VLOOKUP($A33,'Institution Evaluation'!$A$56:$K$346,9,0)&amp;""</f>
        <v/>
      </c>
      <c r="J33" s="311" t="str">
        <f aca="false">VLOOKUP($A33,'Institution Evaluation'!$A$56:$K$346,10,0)&amp;""</f>
        <v/>
      </c>
      <c r="K33" s="311" t="n">
        <f aca="false">IF($I33="Critical Importance",20,IF($I33="Minor Importance",5,10))</f>
        <v>10</v>
      </c>
      <c r="L33" s="283" t="str">
        <f aca="false">IF($E33="Not Scored", "N/A",IF(AND($D33='Auto Responses'!$J$27,$H33=""),"N/A",IF(AND($D33='Auto Responses'!$J$27,$H33='Auto Responses'!$J$7),1,IF(AND($D33='Auto Responses'!$J$27,$H33='Auto Responses'!$J$8),0,IF(OR($F33=$G33,$H33='Auto Responses'!$J$7),1,0)))))</f>
        <v>N/A</v>
      </c>
      <c r="M33" s="311" t="str">
        <f aca="false">VLOOKUP($A33,'Institution Evaluation'!$A$56:$K$346,10,0)&amp;""</f>
        <v/>
      </c>
      <c r="N33" s="311" t="n">
        <f aca="false">IF($J33="Critical Importance",1,IF(AND($J33="",$I33="Critical Importance"),1,0))</f>
        <v>0</v>
      </c>
      <c r="O33" s="283" t="str">
        <f aca="false">IF(OR($F$18="No",$E33="Not Scored"),"N/A",IF($J33="",$K33,IF($J33="Minor Importance",5,IF($J33="Standard Importance",10,IF($J33="Critical Importance",20,0)))))</f>
        <v>N/A</v>
      </c>
      <c r="P33" s="283" t="str">
        <f aca="false">IF(OR($O33="N/A",$L33="N/A"),"N/A",$O33*$L33)</f>
        <v>N/A</v>
      </c>
      <c r="Q33" s="283" t="n">
        <f aca="false">IF(M33="TRUE",1,0)</f>
        <v>0</v>
      </c>
      <c r="R33" s="283" t="n">
        <f aca="false">R32+Q33</f>
        <v>0</v>
      </c>
      <c r="S33" s="283" t="n">
        <f aca="false">IF(Q33=0,0,R33)</f>
        <v>0</v>
      </c>
      <c r="T33" s="283" t="n">
        <f aca="false">IF(N33=1,1,0)</f>
        <v>0</v>
      </c>
      <c r="U33" s="283" t="n">
        <f aca="false">U32+T33</f>
        <v>3</v>
      </c>
      <c r="V33" s="283" t="n">
        <f aca="false">IF(T33=0,0,U33)</f>
        <v>0</v>
      </c>
    </row>
    <row r="34" customFormat="false" ht="15" hidden="false" customHeight="false" outlineLevel="0" collapsed="false">
      <c r="A34" s="311" t="str">
        <f aca="false">Questions!$A34</f>
        <v>ITAC-03</v>
      </c>
      <c r="B34" s="311" t="str">
        <f aca="false">LEFT(A34,4)</f>
        <v>ITAC</v>
      </c>
      <c r="C34" s="311" t="str">
        <f aca="false">VLOOKUP($A34,Questions!$A$3:$L$333,2,0)&amp;""</f>
        <v>Solution Provider Accessibility Contact Email</v>
      </c>
      <c r="D34" s="311" t="str">
        <f aca="false">VLOOKUP($A34,Questions!$A$3:$L$333,11,0)&amp;""</f>
        <v>NA</v>
      </c>
      <c r="E34" s="311" t="str">
        <f aca="false">VLOOKUP($A34,Questions!$A$3:$L$333,12,0)&amp;""</f>
        <v>Not Scored</v>
      </c>
      <c r="F34" s="311" t="str">
        <f aca="false">VLOOKUP($A34,'Institution Evaluation'!$A$56:$K$346,3,0)&amp;""</f>
        <v/>
      </c>
      <c r="G34" s="311" t="str">
        <f aca="false">VLOOKUP($A34,'Institution Evaluation'!$A$56:$K$346,7,0)&amp;""</f>
        <v>Not scored</v>
      </c>
      <c r="H34" s="311" t="str">
        <f aca="false">VLOOKUP($A34,'Institution Evaluation'!$A$56:$K$346,8,0)&amp;""</f>
        <v/>
      </c>
      <c r="I34" s="311" t="str">
        <f aca="false">VLOOKUP($A34,'Institution Evaluation'!$A$56:$K$346,9,0)&amp;""</f>
        <v/>
      </c>
      <c r="J34" s="311" t="str">
        <f aca="false">VLOOKUP($A34,'Institution Evaluation'!$A$56:$K$346,10,0)&amp;""</f>
        <v/>
      </c>
      <c r="K34" s="311" t="n">
        <f aca="false">IF($I34="Critical Importance",20,IF($I34="Minor Importance",5,10))</f>
        <v>10</v>
      </c>
      <c r="L34" s="283" t="str">
        <f aca="false">IF($E34="Not Scored", "N/A",IF(AND($D34='Auto Responses'!$J$27,$H34=""),"N/A",IF(AND($D34='Auto Responses'!$J$27,$H34='Auto Responses'!$J$7),1,IF(AND($D34='Auto Responses'!$J$27,$H34='Auto Responses'!$J$8),0,IF(OR($F34=$G34,$H34='Auto Responses'!$J$7),1,0)))))</f>
        <v>N/A</v>
      </c>
      <c r="M34" s="311" t="str">
        <f aca="false">VLOOKUP($A34,'Institution Evaluation'!$A$56:$K$346,10,0)&amp;""</f>
        <v/>
      </c>
      <c r="N34" s="311" t="n">
        <f aca="false">IF($J34="Critical Importance",1,IF(AND($J34="",$I34="Critical Importance"),1,0))</f>
        <v>0</v>
      </c>
      <c r="O34" s="283" t="str">
        <f aca="false">IF(OR($F$18="No",$E34="Not Scored"),"N/A",IF($J34="",$K34,IF($J34="Minor Importance",5,IF($J34="Standard Importance",10,IF($J34="Critical Importance",20,0)))))</f>
        <v>N/A</v>
      </c>
      <c r="P34" s="283" t="str">
        <f aca="false">IF(OR($O34="N/A",$L34="N/A"),"N/A",$O34*$L34)</f>
        <v>N/A</v>
      </c>
      <c r="Q34" s="283" t="n">
        <f aca="false">IF(M34="TRUE",1,0)</f>
        <v>0</v>
      </c>
      <c r="R34" s="283" t="n">
        <f aca="false">R33+Q34</f>
        <v>0</v>
      </c>
      <c r="S34" s="283" t="n">
        <f aca="false">IF(Q34=0,0,R34)</f>
        <v>0</v>
      </c>
      <c r="T34" s="283" t="n">
        <f aca="false">IF(N34=1,1,0)</f>
        <v>0</v>
      </c>
      <c r="U34" s="283" t="n">
        <f aca="false">U33+T34</f>
        <v>3</v>
      </c>
      <c r="V34" s="283" t="n">
        <f aca="false">IF(T34=0,0,U34)</f>
        <v>0</v>
      </c>
    </row>
    <row r="35" customFormat="false" ht="26.85" hidden="false" customHeight="false" outlineLevel="0" collapsed="false">
      <c r="A35" s="311" t="str">
        <f aca="false">Questions!$A35</f>
        <v>ITAC-04</v>
      </c>
      <c r="B35" s="311" t="str">
        <f aca="false">LEFT(A35,4)</f>
        <v>ITAC</v>
      </c>
      <c r="C35" s="311" t="str">
        <f aca="false">VLOOKUP($A35,Questions!$A$3:$L$333,2,0)&amp;""</f>
        <v>Solution Provider Accessibility Contact Phone Number</v>
      </c>
      <c r="D35" s="311" t="str">
        <f aca="false">VLOOKUP($A35,Questions!$A$3:$L$333,11,0)&amp;""</f>
        <v>NA</v>
      </c>
      <c r="E35" s="311" t="str">
        <f aca="false">VLOOKUP($A35,Questions!$A$3:$L$333,12,0)&amp;""</f>
        <v>Not Scored</v>
      </c>
      <c r="F35" s="311" t="str">
        <f aca="false">VLOOKUP($A35,'Institution Evaluation'!$A$56:$K$346,3,0)&amp;""</f>
        <v/>
      </c>
      <c r="G35" s="311" t="str">
        <f aca="false">VLOOKUP($A35,'Institution Evaluation'!$A$56:$K$346,7,0)&amp;""</f>
        <v>Not scored</v>
      </c>
      <c r="H35" s="311" t="str">
        <f aca="false">VLOOKUP($A35,'Institution Evaluation'!$A$56:$K$346,8,0)&amp;""</f>
        <v/>
      </c>
      <c r="I35" s="311" t="str">
        <f aca="false">VLOOKUP($A35,'Institution Evaluation'!$A$56:$K$346,9,0)&amp;""</f>
        <v/>
      </c>
      <c r="J35" s="311" t="str">
        <f aca="false">VLOOKUP($A35,'Institution Evaluation'!$A$56:$K$346,10,0)&amp;""</f>
        <v/>
      </c>
      <c r="K35" s="311" t="n">
        <f aca="false">IF($I35="Critical Importance",20,IF($I35="Minor Importance",5,10))</f>
        <v>10</v>
      </c>
      <c r="L35" s="283" t="str">
        <f aca="false">IF($E35="Not Scored", "N/A",IF(AND($D35='Auto Responses'!$J$27,$H35=""),"N/A",IF(AND($D35='Auto Responses'!$J$27,$H35='Auto Responses'!$J$7),1,IF(AND($D35='Auto Responses'!$J$27,$H35='Auto Responses'!$J$8),0,IF(OR($F35=$G35,$H35='Auto Responses'!$J$7),1,0)))))</f>
        <v>N/A</v>
      </c>
      <c r="M35" s="311" t="str">
        <f aca="false">VLOOKUP($A35,'Institution Evaluation'!$A$56:$K$346,10,0)&amp;""</f>
        <v/>
      </c>
      <c r="N35" s="311" t="n">
        <f aca="false">IF($J35="Critical Importance",1,IF(AND($J35="",$I35="Critical Importance"),1,0))</f>
        <v>0</v>
      </c>
      <c r="O35" s="283" t="str">
        <f aca="false">IF(OR($F$18="No",$E35="Not Scored"),"N/A",IF($J35="",$K35,IF($J35="Minor Importance",5,IF($J35="Standard Importance",10,IF($J35="Critical Importance",20,0)))))</f>
        <v>N/A</v>
      </c>
      <c r="P35" s="283" t="str">
        <f aca="false">IF(OR($O35="N/A",$L35="N/A"),"N/A",$O35*$L35)</f>
        <v>N/A</v>
      </c>
      <c r="Q35" s="283" t="n">
        <f aca="false">IF(M35="TRUE",1,0)</f>
        <v>0</v>
      </c>
      <c r="R35" s="283" t="n">
        <f aca="false">R34+Q35</f>
        <v>0</v>
      </c>
      <c r="S35" s="283" t="n">
        <f aca="false">IF(Q35=0,0,R35)</f>
        <v>0</v>
      </c>
      <c r="T35" s="283" t="n">
        <f aca="false">IF(N35=1,1,0)</f>
        <v>0</v>
      </c>
      <c r="U35" s="283" t="n">
        <f aca="false">U34+T35</f>
        <v>3</v>
      </c>
      <c r="V35" s="283" t="n">
        <f aca="false">IF(T35=0,0,U35)</f>
        <v>0</v>
      </c>
    </row>
    <row r="36" customFormat="false" ht="15" hidden="false" customHeight="false" outlineLevel="0" collapsed="false">
      <c r="A36" s="311" t="str">
        <f aca="false">Questions!$A36</f>
        <v>ITAC-05</v>
      </c>
      <c r="B36" s="311" t="str">
        <f aca="false">LEFT(A36,4)</f>
        <v>ITAC</v>
      </c>
      <c r="C36" s="311" t="str">
        <f aca="false">VLOOKUP($A36,Questions!$A$3:$L$333,2,0)&amp;""</f>
        <v>Web Link to Accessibility Statement or VPAT</v>
      </c>
      <c r="D36" s="311" t="str">
        <f aca="false">VLOOKUP($A36,Questions!$A$3:$L$333,11,0)&amp;""</f>
        <v/>
      </c>
      <c r="E36" s="311" t="str">
        <f aca="false">VLOOKUP($A36,Questions!$A$3:$L$333,12,0)&amp;""</f>
        <v>Not Scored</v>
      </c>
      <c r="F36" s="311" t="str">
        <f aca="false">VLOOKUP($A36,'Institution Evaluation'!$A$56:$K$346,3,0)&amp;""</f>
        <v>https://www.qgis-us.org/2025/09/12/vpat/</v>
      </c>
      <c r="G36" s="311" t="str">
        <f aca="false">VLOOKUP($A36,'Institution Evaluation'!$A$56:$K$346,7,0)&amp;""</f>
        <v>Not scored</v>
      </c>
      <c r="H36" s="311" t="str">
        <f aca="false">VLOOKUP($A36,'Institution Evaluation'!$A$56:$K$346,8,0)&amp;""</f>
        <v/>
      </c>
      <c r="I36" s="311" t="str">
        <f aca="false">VLOOKUP($A36,'Institution Evaluation'!$A$56:$K$346,9,0)&amp;""</f>
        <v/>
      </c>
      <c r="J36" s="311" t="str">
        <f aca="false">VLOOKUP($A36,'Institution Evaluation'!$A$56:$K$346,10,0)&amp;""</f>
        <v/>
      </c>
      <c r="K36" s="311" t="n">
        <f aca="false">IF($I36="Critical Importance",20,IF($I36="Minor Importance",5,10))</f>
        <v>10</v>
      </c>
      <c r="L36" s="283" t="str">
        <f aca="false">IF($E36="Not Scored", "N/A",IF(AND($D36='Auto Responses'!$J$27,$H36=""),"N/A",IF(AND($D36='Auto Responses'!$J$27,$H36='Auto Responses'!$J$7),1,IF(AND($D36='Auto Responses'!$J$27,$H36='Auto Responses'!$J$8),0,IF(OR($F36=$G36,$H36='Auto Responses'!$J$7),1,0)))))</f>
        <v>N/A</v>
      </c>
      <c r="M36" s="311" t="str">
        <f aca="false">VLOOKUP($A36,'Institution Evaluation'!$A$56:$K$346,10,0)&amp;""</f>
        <v/>
      </c>
      <c r="N36" s="311" t="n">
        <f aca="false">IF($J36="Critical Importance",1,IF(AND($J36="",$I36="Critical Importance"),1,0))</f>
        <v>0</v>
      </c>
      <c r="O36" s="283" t="str">
        <f aca="false">IF(OR($F$18="No",$E36="Not Scored"),"N/A",IF($J36="",$K36,IF($J36="Minor Importance",5,IF($J36="Standard Importance",10,IF($J36="Critical Importance",20,0)))))</f>
        <v>N/A</v>
      </c>
      <c r="P36" s="283" t="str">
        <f aca="false">IF(OR($O36="N/A",$L36="N/A"),"N/A",$O36*$L36)</f>
        <v>N/A</v>
      </c>
      <c r="Q36" s="283" t="n">
        <f aca="false">IF(M36="TRUE",1,0)</f>
        <v>0</v>
      </c>
      <c r="R36" s="283" t="n">
        <f aca="false">R35+Q36</f>
        <v>0</v>
      </c>
      <c r="S36" s="283" t="n">
        <f aca="false">IF(Q36=0,0,R36)</f>
        <v>0</v>
      </c>
      <c r="T36" s="283" t="n">
        <f aca="false">IF(N36=1,1,0)</f>
        <v>0</v>
      </c>
      <c r="U36" s="283" t="n">
        <f aca="false">U35+T36</f>
        <v>3</v>
      </c>
      <c r="V36" s="283" t="n">
        <f aca="false">IF(T36=0,0,U36)</f>
        <v>0</v>
      </c>
    </row>
    <row r="37" customFormat="false" ht="39.55" hidden="false" customHeight="false" outlineLevel="0" collapsed="false">
      <c r="A37" s="311" t="str">
        <f aca="false">Questions!$A37</f>
        <v>ITAC-06</v>
      </c>
      <c r="B37" s="311" t="str">
        <f aca="false">LEFT(A37,4)</f>
        <v>ITAC</v>
      </c>
      <c r="C37" s="311" t="str">
        <f aca="false">VLOOKUP($A37,Questions!$A$3:$L$333,2,0)&amp;""</f>
        <v>Has a VPAT or ACR been created or updated for the solution and version under consideration within the past 12 months?*</v>
      </c>
      <c r="D37" s="311" t="str">
        <f aca="false">VLOOKUP($A37,Questions!$A$3:$L$333,11,0)&amp;""</f>
        <v/>
      </c>
      <c r="E37" s="311" t="str">
        <f aca="false">VLOOKUP($A37,Questions!$A$3:$L$333,12,0)&amp;""</f>
        <v>IT Accessibility</v>
      </c>
      <c r="F37" s="311" t="str">
        <f aca="false">VLOOKUP($A37,'Institution Evaluation'!$A$56:$K$346,3,0)&amp;""</f>
        <v>yes</v>
      </c>
      <c r="G37" s="311" t="str">
        <f aca="false">VLOOKUP($A37,'Institution Evaluation'!$A$56:$K$346,7,0)&amp;""</f>
        <v>Yes</v>
      </c>
      <c r="H37" s="311" t="str">
        <f aca="false">VLOOKUP($A37,'Institution Evaluation'!$A$56:$K$346,8,0)&amp;""</f>
        <v/>
      </c>
      <c r="I37" s="311" t="str">
        <f aca="false">VLOOKUP($A37,'Institution Evaluation'!$A$56:$K$346,9,0)&amp;""</f>
        <v>Critical Importance</v>
      </c>
      <c r="J37" s="311" t="str">
        <f aca="false">VLOOKUP($A37,'Institution Evaluation'!$A$56:$K$346,10,0)&amp;""</f>
        <v/>
      </c>
      <c r="K37" s="311" t="n">
        <f aca="false">IF($I37="Critical Importance",20,IF($I37="Minor Importance",5,10))</f>
        <v>20</v>
      </c>
      <c r="L37" s="283" t="n">
        <f aca="false">IF($E37="Not Scored", "N/A",IF(AND($D37='Auto Responses'!$J$27,$H37=""),"N/A",IF(AND($D37='Auto Responses'!$J$27,$H37='Auto Responses'!$J$7),1,IF(AND($D37='Auto Responses'!$J$27,$H37='Auto Responses'!$J$8),0,IF(OR($F37=$G37,$H37='Auto Responses'!$J$7),1,0)))))</f>
        <v>1</v>
      </c>
      <c r="M37" s="311" t="str">
        <f aca="false">VLOOKUP($A37,'Institution Evaluation'!$A$56:$K$346,10,0)&amp;""</f>
        <v/>
      </c>
      <c r="N37" s="311" t="n">
        <f aca="false">IF($J37="Critical Importance",1,IF(AND($J37="",$I37="Critical Importance"),1,0))</f>
        <v>1</v>
      </c>
      <c r="O37" s="283" t="n">
        <f aca="false">IF(OR($F$18="No",$E37="Not Scored"),"N/A",IF($J37="",$K37,IF($J37="Minor Importance",5,IF($J37="Standard Importance",10,IF($J37="Critical Importance",20,0)))))</f>
        <v>20</v>
      </c>
      <c r="P37" s="283" t="n">
        <f aca="false">IF(OR($O37="N/A",$L37="N/A"),"N/A",$O37*$L37)</f>
        <v>20</v>
      </c>
      <c r="Q37" s="283" t="n">
        <f aca="false">IF(M37="TRUE",1,0)</f>
        <v>0</v>
      </c>
      <c r="R37" s="283" t="n">
        <f aca="false">R36+Q37</f>
        <v>0</v>
      </c>
      <c r="S37" s="283" t="n">
        <f aca="false">IF(Q37=0,0,R37)</f>
        <v>0</v>
      </c>
      <c r="T37" s="283" t="n">
        <f aca="false">IF(N37=1,1,0)</f>
        <v>1</v>
      </c>
      <c r="U37" s="283" t="n">
        <f aca="false">U36+T37</f>
        <v>4</v>
      </c>
      <c r="V37" s="283" t="n">
        <f aca="false">IF(T37=0,0,U37)</f>
        <v>4</v>
      </c>
    </row>
    <row r="38" customFormat="false" ht="52.2" hidden="false" customHeight="false" outlineLevel="0" collapsed="false">
      <c r="A38" s="311" t="str">
        <f aca="false">Questions!$A38</f>
        <v>ITAC-07</v>
      </c>
      <c r="B38" s="311" t="str">
        <f aca="false">LEFT(A38,4)</f>
        <v>ITAC</v>
      </c>
      <c r="C38" s="311" t="str">
        <f aca="false">VLOOKUP($A38,Questions!$A$3:$L$333,2,0)&amp;""</f>
        <v>Will your company agree to meet your stated accessibility standard or WCAG 2.1 AA as part of your contractual agreement for the solution?*</v>
      </c>
      <c r="D38" s="311" t="str">
        <f aca="false">VLOOKUP($A38,Questions!$A$3:$L$333,11,0)&amp;""</f>
        <v/>
      </c>
      <c r="E38" s="311" t="str">
        <f aca="false">VLOOKUP($A38,Questions!$A$3:$L$333,12,0)&amp;""</f>
        <v>IT Accessibility</v>
      </c>
      <c r="F38" s="311" t="str">
        <f aca="false">VLOOKUP($A38,'Institution Evaluation'!$A$56:$K$346,3,0)&amp;""</f>
        <v>yes</v>
      </c>
      <c r="G38" s="311" t="str">
        <f aca="false">VLOOKUP($A38,'Institution Evaluation'!$A$56:$K$346,7,0)&amp;""</f>
        <v>Yes</v>
      </c>
      <c r="H38" s="311" t="str">
        <f aca="false">VLOOKUP($A38,'Institution Evaluation'!$A$56:$K$346,8,0)&amp;""</f>
        <v/>
      </c>
      <c r="I38" s="311" t="str">
        <f aca="false">VLOOKUP($A38,'Institution Evaluation'!$A$56:$K$346,9,0)&amp;""</f>
        <v>Critical Importance</v>
      </c>
      <c r="J38" s="311" t="str">
        <f aca="false">VLOOKUP($A38,'Institution Evaluation'!$A$56:$K$346,10,0)&amp;""</f>
        <v/>
      </c>
      <c r="K38" s="311" t="n">
        <f aca="false">IF($I38="Critical Importance",20,IF($I38="Minor Importance",5,10))</f>
        <v>20</v>
      </c>
      <c r="L38" s="283" t="n">
        <f aca="false">IF($E38="Not Scored", "N/A",IF(AND($D38='Auto Responses'!$J$27,$H38=""),"N/A",IF(AND($D38='Auto Responses'!$J$27,$H38='Auto Responses'!$J$7),1,IF(AND($D38='Auto Responses'!$J$27,$H38='Auto Responses'!$J$8),0,IF(OR($F38=$G38,$H38='Auto Responses'!$J$7),1,0)))))</f>
        <v>1</v>
      </c>
      <c r="M38" s="311" t="str">
        <f aca="false">VLOOKUP($A38,'Institution Evaluation'!$A$56:$K$346,10,0)&amp;""</f>
        <v/>
      </c>
      <c r="N38" s="311" t="n">
        <f aca="false">IF($J38="Critical Importance",1,IF(AND($J38="",$I38="Critical Importance"),1,0))</f>
        <v>1</v>
      </c>
      <c r="O38" s="283" t="n">
        <f aca="false">IF(OR($F$18="No",$E38="Not Scored"),"N/A",IF($J38="",$K38,IF($J38="Minor Importance",5,IF($J38="Standard Importance",10,IF($J38="Critical Importance",20,0)))))</f>
        <v>20</v>
      </c>
      <c r="P38" s="283" t="n">
        <f aca="false">IF(OR($O38="N/A",$L38="N/A"),"N/A",$O38*$L38)</f>
        <v>20</v>
      </c>
      <c r="Q38" s="283" t="n">
        <f aca="false">IF(M38="TRUE",1,0)</f>
        <v>0</v>
      </c>
      <c r="R38" s="283" t="n">
        <f aca="false">R37+Q38</f>
        <v>0</v>
      </c>
      <c r="S38" s="283" t="n">
        <f aca="false">IF(Q38=0,0,R38)</f>
        <v>0</v>
      </c>
      <c r="T38" s="283" t="n">
        <f aca="false">IF(N38=1,1,0)</f>
        <v>1</v>
      </c>
      <c r="U38" s="283" t="n">
        <f aca="false">U37+T38</f>
        <v>5</v>
      </c>
      <c r="V38" s="283" t="n">
        <f aca="false">IF(T38=0,0,U38)</f>
        <v>5</v>
      </c>
    </row>
    <row r="39" customFormat="false" ht="26.85" hidden="false" customHeight="false" outlineLevel="0" collapsed="false">
      <c r="A39" s="311" t="str">
        <f aca="false">Questions!$A39</f>
        <v>ITAC-08</v>
      </c>
      <c r="B39" s="311" t="str">
        <f aca="false">LEFT(A39,4)</f>
        <v>ITAC</v>
      </c>
      <c r="C39" s="311" t="str">
        <f aca="false">VLOOKUP($A39,Questions!$A$3:$L$333,2,0)&amp;""</f>
        <v>Does the solution substantially conform to WCAG 2.1 AA?*</v>
      </c>
      <c r="D39" s="311" t="str">
        <f aca="false">VLOOKUP($A39,Questions!$A$3:$L$333,11,0)&amp;""</f>
        <v/>
      </c>
      <c r="E39" s="311" t="str">
        <f aca="false">VLOOKUP($A39,Questions!$A$3:$L$333,12,0)&amp;""</f>
        <v>IT Accessibility</v>
      </c>
      <c r="F39" s="311" t="str">
        <f aca="false">VLOOKUP($A39,'Institution Evaluation'!$A$56:$K$346,3,0)&amp;""</f>
        <v>NO</v>
      </c>
      <c r="G39" s="311" t="str">
        <f aca="false">VLOOKUP($A39,'Institution Evaluation'!$A$56:$K$346,7,0)&amp;""</f>
        <v>Yes</v>
      </c>
      <c r="H39" s="311" t="str">
        <f aca="false">VLOOKUP($A39,'Institution Evaluation'!$A$56:$K$346,8,0)&amp;""</f>
        <v/>
      </c>
      <c r="I39" s="311" t="str">
        <f aca="false">VLOOKUP($A39,'Institution Evaluation'!$A$56:$K$346,9,0)&amp;""</f>
        <v>Critical Importance</v>
      </c>
      <c r="J39" s="311" t="str">
        <f aca="false">VLOOKUP($A39,'Institution Evaluation'!$A$56:$K$346,10,0)&amp;""</f>
        <v/>
      </c>
      <c r="K39" s="311" t="n">
        <f aca="false">IF($I39="Critical Importance",20,IF($I39="Minor Importance",5,10))</f>
        <v>20</v>
      </c>
      <c r="L39" s="283" t="n">
        <f aca="false">IF($E39="Not Scored", "N/A",IF(AND($D39='Auto Responses'!$J$27,$H39=""),"N/A",IF(AND($D39='Auto Responses'!$J$27,$H39='Auto Responses'!$J$7),1,IF(AND($D39='Auto Responses'!$J$27,$H39='Auto Responses'!$J$8),0,IF(OR($F39=$G39,$H39='Auto Responses'!$J$7),1,0)))))</f>
        <v>0</v>
      </c>
      <c r="M39" s="311" t="str">
        <f aca="false">VLOOKUP($A39,'Institution Evaluation'!$A$56:$K$346,10,0)&amp;""</f>
        <v/>
      </c>
      <c r="N39" s="311" t="n">
        <f aca="false">IF($J39="Critical Importance",1,IF(AND($J39="",$I39="Critical Importance"),1,0))</f>
        <v>1</v>
      </c>
      <c r="O39" s="283" t="n">
        <f aca="false">IF(OR($F$18="No",$E39="Not Scored"),"N/A",IF($J39="",$K39,IF($J39="Minor Importance",5,IF($J39="Standard Importance",10,IF($J39="Critical Importance",20,0)))))</f>
        <v>20</v>
      </c>
      <c r="P39" s="283" t="n">
        <f aca="false">IF(OR($O39="N/A",$L39="N/A"),"N/A",$O39*$L39)</f>
        <v>0</v>
      </c>
      <c r="Q39" s="283" t="n">
        <f aca="false">IF(M39="TRUE",1,0)</f>
        <v>0</v>
      </c>
      <c r="R39" s="283" t="n">
        <f aca="false">R38+Q39</f>
        <v>0</v>
      </c>
      <c r="S39" s="283" t="n">
        <f aca="false">IF(Q39=0,0,R39)</f>
        <v>0</v>
      </c>
      <c r="T39" s="283" t="n">
        <f aca="false">IF(N39=1,1,0)</f>
        <v>1</v>
      </c>
      <c r="U39" s="283" t="n">
        <f aca="false">U38+T39</f>
        <v>6</v>
      </c>
      <c r="V39" s="283" t="n">
        <f aca="false">IF(T39=0,0,U39)</f>
        <v>6</v>
      </c>
    </row>
    <row r="40" customFormat="false" ht="39.55" hidden="false" customHeight="false" outlineLevel="0" collapsed="false">
      <c r="A40" s="311" t="str">
        <f aca="false">Questions!$A40</f>
        <v>ITAC-09</v>
      </c>
      <c r="B40" s="311" t="str">
        <f aca="false">LEFT(A40,4)</f>
        <v>ITAC</v>
      </c>
      <c r="C40" s="311" t="str">
        <f aca="false">VLOOKUP($A40,Questions!$A$3:$L$333,2,0)&amp;""</f>
        <v>Do you have a documented and implemented process for reporting and tracking accessibility issues?*</v>
      </c>
      <c r="D40" s="311" t="str">
        <f aca="false">VLOOKUP($A40,Questions!$A$3:$L$333,11,0)&amp;""</f>
        <v/>
      </c>
      <c r="E40" s="311" t="str">
        <f aca="false">VLOOKUP($A40,Questions!$A$3:$L$333,12,0)&amp;""</f>
        <v>IT Accessibility</v>
      </c>
      <c r="F40" s="311" t="str">
        <f aca="false">VLOOKUP($A40,'Institution Evaluation'!$A$56:$K$346,3,0)&amp;""</f>
        <v>yes</v>
      </c>
      <c r="G40" s="311" t="str">
        <f aca="false">VLOOKUP($A40,'Institution Evaluation'!$A$56:$K$346,7,0)&amp;""</f>
        <v>Yes</v>
      </c>
      <c r="H40" s="311" t="str">
        <f aca="false">VLOOKUP($A40,'Institution Evaluation'!$A$56:$K$346,8,0)&amp;""</f>
        <v/>
      </c>
      <c r="I40" s="311" t="str">
        <f aca="false">VLOOKUP($A40,'Institution Evaluation'!$A$56:$K$346,9,0)&amp;""</f>
        <v>Critical Importance</v>
      </c>
      <c r="J40" s="311" t="str">
        <f aca="false">VLOOKUP($A40,'Institution Evaluation'!$A$56:$K$346,10,0)&amp;""</f>
        <v/>
      </c>
      <c r="K40" s="311" t="n">
        <f aca="false">IF($I40="Critical Importance",20,IF($I40="Minor Importance",5,10))</f>
        <v>20</v>
      </c>
      <c r="L40" s="283" t="n">
        <f aca="false">IF($E40="Not Scored", "N/A",IF(AND($D40='Auto Responses'!$J$27,$H40=""),"N/A",IF(AND($D40='Auto Responses'!$J$27,$H40='Auto Responses'!$J$7),1,IF(AND($D40='Auto Responses'!$J$27,$H40='Auto Responses'!$J$8),0,IF(OR($F40=$G40,$H40='Auto Responses'!$J$7),1,0)))))</f>
        <v>1</v>
      </c>
      <c r="M40" s="311" t="str">
        <f aca="false">VLOOKUP($A40,'Institution Evaluation'!$A$56:$K$346,10,0)&amp;""</f>
        <v/>
      </c>
      <c r="N40" s="311" t="n">
        <f aca="false">IF($J40="Critical Importance",1,IF(AND($J40="",$I40="Critical Importance"),1,0))</f>
        <v>1</v>
      </c>
      <c r="O40" s="283" t="n">
        <f aca="false">IF(OR($F$18="No",$E40="Not Scored"),"N/A",IF($J40="",$K40,IF($J40="Minor Importance",5,IF($J40="Standard Importance",10,IF($J40="Critical Importance",20,0)))))</f>
        <v>20</v>
      </c>
      <c r="P40" s="283" t="n">
        <f aca="false">IF(OR($O40="N/A",$L40="N/A"),"N/A",$O40*$L40)</f>
        <v>20</v>
      </c>
      <c r="Q40" s="283" t="n">
        <f aca="false">IF(M40="TRUE",1,0)</f>
        <v>0</v>
      </c>
      <c r="R40" s="283" t="n">
        <f aca="false">R39+Q40</f>
        <v>0</v>
      </c>
      <c r="S40" s="283" t="n">
        <f aca="false">IF(Q40=0,0,R40)</f>
        <v>0</v>
      </c>
      <c r="T40" s="283" t="n">
        <f aca="false">IF(N40=1,1,0)</f>
        <v>1</v>
      </c>
      <c r="U40" s="283" t="n">
        <f aca="false">U39+T40</f>
        <v>7</v>
      </c>
      <c r="V40" s="283" t="n">
        <f aca="false">IF(T40=0,0,U40)</f>
        <v>7</v>
      </c>
    </row>
    <row r="41" customFormat="false" ht="26.85" hidden="false" customHeight="false" outlineLevel="0" collapsed="false">
      <c r="A41" s="311" t="str">
        <f aca="false">Questions!$A41</f>
        <v>ITAC-10</v>
      </c>
      <c r="B41" s="311" t="str">
        <f aca="false">LEFT(A41,4)</f>
        <v>ITAC</v>
      </c>
      <c r="C41" s="311" t="str">
        <f aca="false">VLOOKUP($A41,Questions!$A$3:$L$333,2,0)&amp;""</f>
        <v>Do you have documentation to support the accessibility features of your solution?</v>
      </c>
      <c r="D41" s="311" t="str">
        <f aca="false">VLOOKUP($A41,Questions!$A$3:$L$333,11,0)&amp;""</f>
        <v/>
      </c>
      <c r="E41" s="311" t="str">
        <f aca="false">VLOOKUP($A41,Questions!$A$3:$L$333,12,0)&amp;""</f>
        <v>IT Accessibility</v>
      </c>
      <c r="F41" s="311" t="str">
        <f aca="false">VLOOKUP($A41,'Institution Evaluation'!$A$56:$K$346,3,0)&amp;""</f>
        <v>yes</v>
      </c>
      <c r="G41" s="311" t="str">
        <f aca="false">VLOOKUP($A41,'Institution Evaluation'!$A$56:$K$346,7,0)&amp;""</f>
        <v>Yes</v>
      </c>
      <c r="H41" s="311" t="str">
        <f aca="false">VLOOKUP($A41,'Institution Evaluation'!$A$56:$K$346,8,0)&amp;""</f>
        <v/>
      </c>
      <c r="I41" s="311" t="str">
        <f aca="false">VLOOKUP($A41,'Institution Evaluation'!$A$56:$K$346,9,0)&amp;""</f>
        <v>Standard Importance</v>
      </c>
      <c r="J41" s="311" t="str">
        <f aca="false">VLOOKUP($A41,'Institution Evaluation'!$A$56:$K$346,10,0)&amp;""</f>
        <v/>
      </c>
      <c r="K41" s="311" t="n">
        <f aca="false">IF($I41="Critical Importance",20,IF($I41="Minor Importance",5,10))</f>
        <v>10</v>
      </c>
      <c r="L41" s="283" t="n">
        <f aca="false">IF($E41="Not Scored", "N/A",IF(AND($D41='Auto Responses'!$J$27,$H41=""),"N/A",IF(AND($D41='Auto Responses'!$J$27,$H41='Auto Responses'!$J$7),1,IF(AND($D41='Auto Responses'!$J$27,$H41='Auto Responses'!$J$8),0,IF(OR($F41=$G41,$H41='Auto Responses'!$J$7),1,0)))))</f>
        <v>1</v>
      </c>
      <c r="M41" s="311" t="str">
        <f aca="false">VLOOKUP($A41,'Institution Evaluation'!$A$56:$K$346,10,0)&amp;""</f>
        <v/>
      </c>
      <c r="N41" s="311" t="n">
        <f aca="false">IF($J41="Critical Importance",1,IF(AND($J41="",$I41="Critical Importance"),1,0))</f>
        <v>0</v>
      </c>
      <c r="O41" s="283" t="n">
        <f aca="false">IF(OR($F$18="No",$E41="Not Scored"),"N/A",IF($J41="",$K41,IF($J41="Minor Importance",5,IF($J41="Standard Importance",10,IF($J41="Critical Importance",20,0)))))</f>
        <v>10</v>
      </c>
      <c r="P41" s="283" t="n">
        <f aca="false">IF(OR($O41="N/A",$L41="N/A"),"N/A",$O41*$L41)</f>
        <v>10</v>
      </c>
      <c r="Q41" s="283" t="n">
        <f aca="false">IF(M41="TRUE",1,0)</f>
        <v>0</v>
      </c>
      <c r="R41" s="283" t="n">
        <f aca="false">R40+Q41</f>
        <v>0</v>
      </c>
      <c r="S41" s="283" t="n">
        <f aca="false">IF(Q41=0,0,R41)</f>
        <v>0</v>
      </c>
      <c r="T41" s="283" t="n">
        <f aca="false">IF(N41=1,1,0)</f>
        <v>0</v>
      </c>
      <c r="U41" s="283" t="n">
        <f aca="false">U40+T41</f>
        <v>7</v>
      </c>
      <c r="V41" s="283" t="n">
        <f aca="false">IF(T41=0,0,U41)</f>
        <v>0</v>
      </c>
    </row>
    <row r="42" customFormat="false" ht="26.85" hidden="false" customHeight="false" outlineLevel="0" collapsed="false">
      <c r="A42" s="311" t="str">
        <f aca="false">Questions!$A42</f>
        <v>ITAC-11</v>
      </c>
      <c r="B42" s="311" t="str">
        <f aca="false">LEFT(A42,4)</f>
        <v>ITAC</v>
      </c>
      <c r="C42" s="311" t="str">
        <f aca="false">VLOOKUP($A42,Questions!$A$3:$L$333,2,0)&amp;""</f>
        <v>Has a third-party expert conducted an audit of the most recent version of your solution?</v>
      </c>
      <c r="D42" s="311"/>
      <c r="E42" s="311" t="str">
        <f aca="false">VLOOKUP($A42,Questions!$A$3:$L$333,12,0)&amp;""</f>
        <v>IT Accessibility</v>
      </c>
      <c r="F42" s="311" t="str">
        <f aca="false">VLOOKUP($A42,'Institution Evaluation'!$A$56:$K$346,3,0)&amp;""</f>
        <v>no</v>
      </c>
      <c r="G42" s="311" t="str">
        <f aca="false">VLOOKUP($A42,'Institution Evaluation'!$A$56:$K$346,7,0)&amp;""</f>
        <v>Yes</v>
      </c>
      <c r="H42" s="311" t="str">
        <f aca="false">VLOOKUP($A42,'Institution Evaluation'!$A$56:$K$346,8,0)&amp;""</f>
        <v/>
      </c>
      <c r="I42" s="311" t="str">
        <f aca="false">VLOOKUP($A42,'Institution Evaluation'!$A$56:$K$346,9,0)&amp;""</f>
        <v>Standard Importance</v>
      </c>
      <c r="J42" s="311" t="str">
        <f aca="false">VLOOKUP($A42,'Institution Evaluation'!$A$56:$K$346,10,0)&amp;""</f>
        <v/>
      </c>
      <c r="K42" s="311" t="n">
        <f aca="false">IF($I42="Critical Importance",20,IF($I42="Minor Importance",5,10))</f>
        <v>10</v>
      </c>
      <c r="L42" s="283" t="n">
        <f aca="false">IF($E42="Not Scored", "N/A",IF(AND($D42='Auto Responses'!$J$27,$H42=""),"N/A",IF(AND($D42='Auto Responses'!$J$27,$H42='Auto Responses'!$J$7),1,IF(AND($D42='Auto Responses'!$J$27,$H42='Auto Responses'!$J$8),0,IF(OR($F42=$G42,$H42='Auto Responses'!$J$7),1,0)))))</f>
        <v>0</v>
      </c>
      <c r="M42" s="311" t="str">
        <f aca="false">VLOOKUP($A42,'Institution Evaluation'!$A$56:$K$346,10,0)&amp;""</f>
        <v/>
      </c>
      <c r="N42" s="311" t="n">
        <f aca="false">IF($J42="Critical Importance",1,IF(AND($J42="",$I42="Critical Importance"),1,0))</f>
        <v>0</v>
      </c>
      <c r="O42" s="283" t="n">
        <f aca="false">IF(OR($F$18="No",$E42="Not Scored"),"N/A",IF($J42="",$K42,IF($J42="Minor Importance",5,IF($J42="Standard Importance",10,IF($J42="Critical Importance",20,0)))))</f>
        <v>10</v>
      </c>
      <c r="P42" s="283" t="n">
        <f aca="false">IF(OR($O42="N/A",$L42="N/A"),"N/A",$O42*$L42)</f>
        <v>0</v>
      </c>
      <c r="Q42" s="283" t="n">
        <f aca="false">IF(M42="TRUE",1,0)</f>
        <v>0</v>
      </c>
      <c r="R42" s="283" t="n">
        <f aca="false">R41+Q42</f>
        <v>0</v>
      </c>
      <c r="S42" s="283" t="n">
        <f aca="false">IF(Q42=0,0,R42)</f>
        <v>0</v>
      </c>
      <c r="T42" s="283" t="n">
        <f aca="false">IF(N42=1,1,0)</f>
        <v>0</v>
      </c>
      <c r="U42" s="283" t="n">
        <f aca="false">U41+T42</f>
        <v>7</v>
      </c>
      <c r="V42" s="283" t="n">
        <f aca="false">IF(T42=0,0,U42)</f>
        <v>0</v>
      </c>
    </row>
    <row r="43" customFormat="false" ht="39.55" hidden="false" customHeight="false" outlineLevel="0" collapsed="false">
      <c r="A43" s="311" t="str">
        <f aca="false">Questions!$A43</f>
        <v>ITAC-12</v>
      </c>
      <c r="B43" s="311" t="str">
        <f aca="false">LEFT(A43,4)</f>
        <v>ITAC</v>
      </c>
      <c r="C43" s="311" t="str">
        <f aca="false">VLOOKUP($A43,Questions!$A$3:$L$333,2,0)&amp;""</f>
        <v>Do you have a documented and implemented process for verifying accessibility conformance?</v>
      </c>
      <c r="D43" s="311" t="str">
        <f aca="false">VLOOKUP($A43,Questions!$A$3:$L$333,11,0)&amp;""</f>
        <v/>
      </c>
      <c r="E43" s="311" t="str">
        <f aca="false">VLOOKUP($A43,Questions!$A$3:$L$333,12,0)&amp;""</f>
        <v>IT Accessibility</v>
      </c>
      <c r="F43" s="311" t="str">
        <f aca="false">VLOOKUP($A43,'Institution Evaluation'!$A$56:$K$346,3,0)&amp;""</f>
        <v>no</v>
      </c>
      <c r="G43" s="311" t="str">
        <f aca="false">VLOOKUP($A43,'Institution Evaluation'!$A$56:$K$346,7,0)&amp;""</f>
        <v>Yes</v>
      </c>
      <c r="H43" s="311" t="str">
        <f aca="false">VLOOKUP($A43,'Institution Evaluation'!$A$56:$K$346,8,0)&amp;""</f>
        <v/>
      </c>
      <c r="I43" s="311" t="str">
        <f aca="false">VLOOKUP($A43,'Institution Evaluation'!$A$56:$K$346,9,0)&amp;""</f>
        <v>Standard Importance</v>
      </c>
      <c r="J43" s="311" t="str">
        <f aca="false">VLOOKUP($A43,'Institution Evaluation'!$A$56:$K$346,10,0)&amp;""</f>
        <v/>
      </c>
      <c r="K43" s="311" t="n">
        <f aca="false">IF($I43="Critical Importance",20,IF($I43="Minor Importance",5,10))</f>
        <v>10</v>
      </c>
      <c r="L43" s="283" t="n">
        <f aca="false">IF($E43="Not Scored", "N/A",IF(AND($D43='Auto Responses'!$J$27,$H43=""),"N/A",IF(AND($D43='Auto Responses'!$J$27,$H43='Auto Responses'!$J$7),1,IF(AND($D43='Auto Responses'!$J$27,$H43='Auto Responses'!$J$8),0,IF(OR($F43=$G43,$H43='Auto Responses'!$J$7),1,0)))))</f>
        <v>0</v>
      </c>
      <c r="M43" s="311" t="str">
        <f aca="false">VLOOKUP($A43,'Institution Evaluation'!$A$56:$K$346,10,0)&amp;""</f>
        <v/>
      </c>
      <c r="N43" s="311" t="n">
        <f aca="false">IF($J43="Critical Importance",1,IF(AND($J43="",$I43="Critical Importance"),1,0))</f>
        <v>0</v>
      </c>
      <c r="O43" s="283" t="n">
        <f aca="false">IF(OR($F$18="No",$E43="Not Scored"),"N/A",IF($J43="",$K43,IF($J43="Minor Importance",5,IF($J43="Standard Importance",10,IF($J43="Critical Importance",20,0)))))</f>
        <v>10</v>
      </c>
      <c r="P43" s="283" t="n">
        <f aca="false">IF(OR($O43="N/A",$L43="N/A"),"N/A",$O43*$L43)</f>
        <v>0</v>
      </c>
      <c r="Q43" s="283" t="n">
        <f aca="false">IF(M43="TRUE",1,0)</f>
        <v>0</v>
      </c>
      <c r="R43" s="283" t="n">
        <f aca="false">R42+Q43</f>
        <v>0</v>
      </c>
      <c r="S43" s="283" t="n">
        <f aca="false">IF(Q43=0,0,R43)</f>
        <v>0</v>
      </c>
      <c r="T43" s="283" t="n">
        <f aca="false">IF(N43=1,1,0)</f>
        <v>0</v>
      </c>
      <c r="U43" s="283" t="n">
        <f aca="false">U42+T43</f>
        <v>7</v>
      </c>
      <c r="V43" s="283" t="n">
        <f aca="false">IF(T43=0,0,U43)</f>
        <v>0</v>
      </c>
    </row>
    <row r="44" customFormat="false" ht="26.85" hidden="false" customHeight="false" outlineLevel="0" collapsed="false">
      <c r="A44" s="311" t="str">
        <f aca="false">Questions!$A44</f>
        <v>ITAC-13</v>
      </c>
      <c r="B44" s="311" t="str">
        <f aca="false">LEFT(A44,4)</f>
        <v>ITAC</v>
      </c>
      <c r="C44" s="311" t="str">
        <f aca="false">VLOOKUP($A44,Questions!$A$3:$L$333,2,0)&amp;""</f>
        <v>Have you adopted a technical or legal standard of conformance for the solution?</v>
      </c>
      <c r="D44" s="311" t="str">
        <f aca="false">VLOOKUP($A44,Questions!$A$3:$L$333,11,0)&amp;""</f>
        <v/>
      </c>
      <c r="E44" s="311" t="str">
        <f aca="false">VLOOKUP($A44,Questions!$A$3:$L$333,12,0)&amp;""</f>
        <v>IT Accessibility</v>
      </c>
      <c r="F44" s="311" t="str">
        <f aca="false">VLOOKUP($A44,'Institution Evaluation'!$A$56:$K$346,3,0)&amp;""</f>
        <v>no</v>
      </c>
      <c r="G44" s="311" t="str">
        <f aca="false">VLOOKUP($A44,'Institution Evaluation'!$A$56:$K$346,7,0)&amp;""</f>
        <v>Yes</v>
      </c>
      <c r="H44" s="311" t="str">
        <f aca="false">VLOOKUP($A44,'Institution Evaluation'!$A$56:$K$346,8,0)&amp;""</f>
        <v/>
      </c>
      <c r="I44" s="311" t="str">
        <f aca="false">VLOOKUP($A44,'Institution Evaluation'!$A$56:$K$346,9,0)&amp;""</f>
        <v>Standard Importance</v>
      </c>
      <c r="J44" s="311" t="str">
        <f aca="false">VLOOKUP($A44,'Institution Evaluation'!$A$56:$K$346,10,0)&amp;""</f>
        <v/>
      </c>
      <c r="K44" s="311" t="n">
        <f aca="false">IF($I44="Critical Importance",20,IF($I44="Minor Importance",5,10))</f>
        <v>10</v>
      </c>
      <c r="L44" s="283" t="n">
        <f aca="false">IF($E44="Not Scored", "N/A",IF(AND($D44='Auto Responses'!$J$27,$H44=""),"N/A",IF(AND($D44='Auto Responses'!$J$27,$H44='Auto Responses'!$J$7),1,IF(AND($D44='Auto Responses'!$J$27,$H44='Auto Responses'!$J$8),0,IF(OR($F44=$G44,$H44='Auto Responses'!$J$7),1,0)))))</f>
        <v>0</v>
      </c>
      <c r="M44" s="311" t="str">
        <f aca="false">VLOOKUP($A44,'Institution Evaluation'!$A$56:$K$346,10,0)&amp;""</f>
        <v/>
      </c>
      <c r="N44" s="311" t="n">
        <f aca="false">IF($J44="Critical Importance",1,IF(AND($J44="",$I44="Critical Importance"),1,0))</f>
        <v>0</v>
      </c>
      <c r="O44" s="283" t="n">
        <f aca="false">IF(OR($F$18="No",$E44="Not Scored"),"N/A",IF($J44="",$K44,IF($J44="Minor Importance",5,IF($J44="Standard Importance",10,IF($J44="Critical Importance",20,0)))))</f>
        <v>10</v>
      </c>
      <c r="P44" s="283" t="n">
        <f aca="false">IF(OR($O44="N/A",$L44="N/A"),"N/A",$O44*$L44)</f>
        <v>0</v>
      </c>
      <c r="Q44" s="283" t="n">
        <f aca="false">IF(M44="TRUE",1,0)</f>
        <v>0</v>
      </c>
      <c r="R44" s="283" t="n">
        <f aca="false">R43+Q44</f>
        <v>0</v>
      </c>
      <c r="S44" s="283" t="n">
        <f aca="false">IF(Q44=0,0,R44)</f>
        <v>0</v>
      </c>
      <c r="T44" s="283" t="n">
        <f aca="false">IF(N44=1,1,0)</f>
        <v>0</v>
      </c>
      <c r="U44" s="283" t="n">
        <f aca="false">U43+T44</f>
        <v>7</v>
      </c>
      <c r="V44" s="283" t="n">
        <f aca="false">IF(T44=0,0,U44)</f>
        <v>0</v>
      </c>
    </row>
    <row r="45" customFormat="false" ht="26.85" hidden="false" customHeight="false" outlineLevel="0" collapsed="false">
      <c r="A45" s="311" t="str">
        <f aca="false">Questions!$A45</f>
        <v>ITAC-14</v>
      </c>
      <c r="B45" s="311" t="str">
        <f aca="false">LEFT(A45,4)</f>
        <v>ITAC</v>
      </c>
      <c r="C45" s="311" t="str">
        <f aca="false">VLOOKUP($A45,Questions!$A$3:$L$333,2,0)&amp;""</f>
        <v>Can you provide a current, detailed accessibility roadmap with delivery timelines?</v>
      </c>
      <c r="D45" s="311" t="str">
        <f aca="false">VLOOKUP($A45,Questions!$A$3:$L$333,11,0)&amp;""</f>
        <v/>
      </c>
      <c r="E45" s="311" t="str">
        <f aca="false">VLOOKUP($A45,Questions!$A$3:$L$333,12,0)&amp;""</f>
        <v>IT Accessibility</v>
      </c>
      <c r="F45" s="311" t="str">
        <f aca="false">VLOOKUP($A45,'Institution Evaluation'!$A$56:$K$346,3,0)&amp;""</f>
        <v>no</v>
      </c>
      <c r="G45" s="311" t="str">
        <f aca="false">VLOOKUP($A45,'Institution Evaluation'!$A$56:$K$346,7,0)&amp;""</f>
        <v>Yes</v>
      </c>
      <c r="H45" s="311" t="str">
        <f aca="false">VLOOKUP($A45,'Institution Evaluation'!$A$56:$K$346,8,0)&amp;""</f>
        <v/>
      </c>
      <c r="I45" s="311" t="str">
        <f aca="false">VLOOKUP($A45,'Institution Evaluation'!$A$56:$K$346,9,0)&amp;""</f>
        <v>Standard Importance</v>
      </c>
      <c r="J45" s="311" t="str">
        <f aca="false">VLOOKUP($A45,'Institution Evaluation'!$A$56:$K$346,10,0)&amp;""</f>
        <v/>
      </c>
      <c r="K45" s="311" t="n">
        <f aca="false">IF($I45="Critical Importance",20,IF($I45="Minor Importance",5,10))</f>
        <v>10</v>
      </c>
      <c r="L45" s="283" t="n">
        <f aca="false">IF($E45="Not Scored", "N/A",IF(AND($D45='Auto Responses'!$J$27,$H45=""),"N/A",IF(AND($D45='Auto Responses'!$J$27,$H45='Auto Responses'!$J$7),1,IF(AND($D45='Auto Responses'!$J$27,$H45='Auto Responses'!$J$8),0,IF(OR($F45=$G45,$H45='Auto Responses'!$J$7),1,0)))))</f>
        <v>0</v>
      </c>
      <c r="M45" s="311" t="str">
        <f aca="false">VLOOKUP($A45,'Institution Evaluation'!$A$56:$K$346,10,0)&amp;""</f>
        <v/>
      </c>
      <c r="N45" s="311" t="n">
        <f aca="false">IF($J45="Critical Importance",1,IF(AND($J45="",$I45="Critical Importance"),1,0))</f>
        <v>0</v>
      </c>
      <c r="O45" s="283" t="n">
        <f aca="false">IF(OR($F$18="No",$E45="Not Scored"),"N/A",IF($J45="",$K45,IF($J45="Minor Importance",5,IF($J45="Standard Importance",10,IF($J45="Critical Importance",20,0)))))</f>
        <v>10</v>
      </c>
      <c r="P45" s="283" t="n">
        <f aca="false">IF(OR($O45="N/A",$L45="N/A"),"N/A",$O45*$L45)</f>
        <v>0</v>
      </c>
      <c r="Q45" s="283" t="n">
        <f aca="false">IF(M45="TRUE",1,0)</f>
        <v>0</v>
      </c>
      <c r="R45" s="283" t="n">
        <f aca="false">R44+Q45</f>
        <v>0</v>
      </c>
      <c r="S45" s="283" t="n">
        <f aca="false">IF(Q45=0,0,R45)</f>
        <v>0</v>
      </c>
      <c r="T45" s="283" t="n">
        <f aca="false">IF(N45=1,1,0)</f>
        <v>0</v>
      </c>
      <c r="U45" s="283" t="n">
        <f aca="false">U44+T45</f>
        <v>7</v>
      </c>
      <c r="V45" s="283" t="n">
        <f aca="false">IF(T45=0,0,U45)</f>
        <v>0</v>
      </c>
    </row>
    <row r="46" customFormat="false" ht="26.85" hidden="false" customHeight="false" outlineLevel="0" collapsed="false">
      <c r="A46" s="311" t="str">
        <f aca="false">Questions!$A46</f>
        <v>ITAC-15</v>
      </c>
      <c r="B46" s="311" t="str">
        <f aca="false">LEFT(A46,4)</f>
        <v>ITAC</v>
      </c>
      <c r="C46" s="311" t="str">
        <f aca="false">VLOOKUP($A46,Questions!$A$3:$L$333,2,0)&amp;""</f>
        <v>Do you expect your staff to maintain a current skill set in IT accessibility?</v>
      </c>
      <c r="D46" s="311" t="str">
        <f aca="false">VLOOKUP($A46,Questions!$A$3:$L$333,11,0)&amp;""</f>
        <v/>
      </c>
      <c r="E46" s="311" t="str">
        <f aca="false">VLOOKUP($A46,Questions!$A$3:$L$333,12,0)&amp;""</f>
        <v>IT Accessibility</v>
      </c>
      <c r="F46" s="311" t="str">
        <f aca="false">VLOOKUP($A46,'Institution Evaluation'!$A$56:$K$346,3,0)&amp;""</f>
        <v>no</v>
      </c>
      <c r="G46" s="311" t="str">
        <f aca="false">VLOOKUP($A46,'Institution Evaluation'!$A$56:$K$346,7,0)&amp;""</f>
        <v>Yes</v>
      </c>
      <c r="H46" s="311" t="str">
        <f aca="false">VLOOKUP($A46,'Institution Evaluation'!$A$56:$K$346,8,0)&amp;""</f>
        <v/>
      </c>
      <c r="I46" s="311" t="str">
        <f aca="false">VLOOKUP($A46,'Institution Evaluation'!$A$56:$K$346,9,0)&amp;""</f>
        <v>Standard Importance</v>
      </c>
      <c r="J46" s="311" t="str">
        <f aca="false">VLOOKUP($A46,'Institution Evaluation'!$A$56:$K$346,10,0)&amp;""</f>
        <v/>
      </c>
      <c r="K46" s="311" t="n">
        <f aca="false">IF($I46="Critical Importance",20,IF($I46="Minor Importance",5,10))</f>
        <v>10</v>
      </c>
      <c r="L46" s="283" t="n">
        <f aca="false">IF($E46="Not Scored", "N/A",IF(AND($D46='Auto Responses'!$J$27,$H46=""),"N/A",IF(AND($D46='Auto Responses'!$J$27,$H46='Auto Responses'!$J$7),1,IF(AND($D46='Auto Responses'!$J$27,$H46='Auto Responses'!$J$8),0,IF(OR($F46=$G46,$H46='Auto Responses'!$J$7),1,0)))))</f>
        <v>0</v>
      </c>
      <c r="M46" s="311" t="str">
        <f aca="false">VLOOKUP($A46,'Institution Evaluation'!$A$56:$K$346,10,0)&amp;""</f>
        <v/>
      </c>
      <c r="N46" s="311" t="n">
        <f aca="false">IF($J46="Critical Importance",1,IF(AND($J46="",$I46="Critical Importance"),1,0))</f>
        <v>0</v>
      </c>
      <c r="O46" s="283" t="n">
        <f aca="false">IF(OR($F$18="No",$E46="Not Scored"),"N/A",IF($J46="",$K46,IF($J46="Minor Importance",5,IF($J46="Standard Importance",10,IF($J46="Critical Importance",20,0)))))</f>
        <v>10</v>
      </c>
      <c r="P46" s="283" t="n">
        <f aca="false">IF(OR($O46="N/A",$L46="N/A"),"N/A",$O46*$L46)</f>
        <v>0</v>
      </c>
      <c r="Q46" s="283" t="n">
        <f aca="false">IF(M46="TRUE",1,0)</f>
        <v>0</v>
      </c>
      <c r="R46" s="283" t="n">
        <f aca="false">R45+Q46</f>
        <v>0</v>
      </c>
      <c r="S46" s="283" t="n">
        <f aca="false">IF(Q46=0,0,R46)</f>
        <v>0</v>
      </c>
      <c r="T46" s="283" t="n">
        <f aca="false">IF(N46=1,1,0)</f>
        <v>0</v>
      </c>
      <c r="U46" s="283" t="n">
        <f aca="false">U45+T46</f>
        <v>7</v>
      </c>
      <c r="V46" s="283" t="n">
        <f aca="false">IF(T46=0,0,U46)</f>
        <v>0</v>
      </c>
    </row>
    <row r="47" customFormat="false" ht="39.55" hidden="false" customHeight="false" outlineLevel="0" collapsed="false">
      <c r="A47" s="311" t="str">
        <f aca="false">Questions!$A47</f>
        <v>ITAC-16</v>
      </c>
      <c r="B47" s="311" t="str">
        <f aca="false">LEFT(A47,4)</f>
        <v>ITAC</v>
      </c>
      <c r="C47" s="311" t="str">
        <f aca="false">VLOOKUP($A47,Questions!$A$3:$L$333,2,0)&amp;""</f>
        <v>Do you have documented processes and procedures for implementing accessibility into your development lifecycle?</v>
      </c>
      <c r="D47" s="311" t="str">
        <f aca="false">VLOOKUP($A47,Questions!$A$3:$L$333,11,0)&amp;""</f>
        <v/>
      </c>
      <c r="E47" s="311" t="str">
        <f aca="false">VLOOKUP($A47,Questions!$A$3:$L$333,12,0)&amp;""</f>
        <v>IT Accessibility</v>
      </c>
      <c r="F47" s="311" t="str">
        <f aca="false">VLOOKUP($A47,'Institution Evaluation'!$A$56:$K$346,3,0)&amp;""</f>
        <v>no</v>
      </c>
      <c r="G47" s="311" t="str">
        <f aca="false">VLOOKUP($A47,'Institution Evaluation'!$A$56:$K$346,7,0)&amp;""</f>
        <v>Yes</v>
      </c>
      <c r="H47" s="311" t="str">
        <f aca="false">VLOOKUP($A47,'Institution Evaluation'!$A$56:$K$346,8,0)&amp;""</f>
        <v/>
      </c>
      <c r="I47" s="311" t="str">
        <f aca="false">VLOOKUP($A47,'Institution Evaluation'!$A$56:$K$346,9,0)&amp;""</f>
        <v>Standard Importance</v>
      </c>
      <c r="J47" s="311" t="str">
        <f aca="false">VLOOKUP($A47,'Institution Evaluation'!$A$56:$K$346,10,0)&amp;""</f>
        <v/>
      </c>
      <c r="K47" s="311" t="n">
        <f aca="false">IF($I47="Critical Importance",20,IF($I47="Minor Importance",5,10))</f>
        <v>10</v>
      </c>
      <c r="L47" s="283" t="n">
        <f aca="false">IF($E47="Not Scored", "N/A",IF(AND($D47='Auto Responses'!$J$27,$H47=""),"N/A",IF(AND($D47='Auto Responses'!$J$27,$H47='Auto Responses'!$J$7),1,IF(AND($D47='Auto Responses'!$J$27,$H47='Auto Responses'!$J$8),0,IF(OR($F47=$G47,$H47='Auto Responses'!$J$7),1,0)))))</f>
        <v>0</v>
      </c>
      <c r="M47" s="311" t="str">
        <f aca="false">VLOOKUP($A47,'Institution Evaluation'!$A$56:$K$346,10,0)&amp;""</f>
        <v/>
      </c>
      <c r="N47" s="311" t="n">
        <f aca="false">IF($J47="Critical Importance",1,IF(AND($J47="",$I47="Critical Importance"),1,0))</f>
        <v>0</v>
      </c>
      <c r="O47" s="283" t="n">
        <f aca="false">IF(OR($F$18="No",$E47="Not Scored"),"N/A",IF($J47="",$K47,IF($J47="Minor Importance",5,IF($J47="Standard Importance",10,IF($J47="Critical Importance",20,0)))))</f>
        <v>10</v>
      </c>
      <c r="P47" s="283" t="n">
        <f aca="false">IF(OR($O47="N/A",$L47="N/A"),"N/A",$O47*$L47)</f>
        <v>0</v>
      </c>
      <c r="Q47" s="283" t="n">
        <f aca="false">IF(M47="TRUE",1,0)</f>
        <v>0</v>
      </c>
      <c r="R47" s="283" t="n">
        <f aca="false">R46+Q47</f>
        <v>0</v>
      </c>
      <c r="S47" s="283" t="n">
        <f aca="false">IF(Q47=0,0,R47)</f>
        <v>0</v>
      </c>
      <c r="T47" s="283" t="n">
        <f aca="false">IF(N47=1,1,0)</f>
        <v>0</v>
      </c>
      <c r="U47" s="283" t="n">
        <f aca="false">U46+T47</f>
        <v>7</v>
      </c>
      <c r="V47" s="283" t="n">
        <f aca="false">IF(T47=0,0,U47)</f>
        <v>0</v>
      </c>
    </row>
    <row r="48" customFormat="false" ht="26.85" hidden="false" customHeight="false" outlineLevel="0" collapsed="false">
      <c r="A48" s="311" t="str">
        <f aca="false">Questions!$A48</f>
        <v>ITAC-17</v>
      </c>
      <c r="B48" s="311" t="str">
        <f aca="false">LEFT(A48,4)</f>
        <v>ITAC</v>
      </c>
      <c r="C48" s="311" t="str">
        <f aca="false">VLOOKUP($A48,Questions!$A$3:$L$333,2,0)&amp;""</f>
        <v>Can all functions of the application or service be performed using only the keyboard?</v>
      </c>
      <c r="D48" s="311" t="str">
        <f aca="false">VLOOKUP($A48,Questions!$A$3:$L$333,11,0)&amp;""</f>
        <v/>
      </c>
      <c r="E48" s="311" t="str">
        <f aca="false">VLOOKUP($A48,Questions!$A$3:$L$333,12,0)&amp;""</f>
        <v>IT Accessibility</v>
      </c>
      <c r="F48" s="311" t="str">
        <f aca="false">VLOOKUP($A48,'Institution Evaluation'!$A$56:$K$346,3,0)&amp;""</f>
        <v>yes</v>
      </c>
      <c r="G48" s="311" t="str">
        <f aca="false">VLOOKUP($A48,'Institution Evaluation'!$A$56:$K$346,7,0)&amp;""</f>
        <v>Yes</v>
      </c>
      <c r="H48" s="311" t="str">
        <f aca="false">VLOOKUP($A48,'Institution Evaluation'!$A$56:$K$346,8,0)&amp;""</f>
        <v/>
      </c>
      <c r="I48" s="311" t="str">
        <f aca="false">VLOOKUP($A48,'Institution Evaluation'!$A$56:$K$346,9,0)&amp;""</f>
        <v>Standard Importance</v>
      </c>
      <c r="J48" s="311" t="str">
        <f aca="false">VLOOKUP($A48,'Institution Evaluation'!$A$56:$K$346,10,0)&amp;""</f>
        <v/>
      </c>
      <c r="K48" s="311" t="n">
        <f aca="false">IF($I48="Critical Importance",20,IF($I48="Minor Importance",5,10))</f>
        <v>10</v>
      </c>
      <c r="L48" s="283" t="n">
        <f aca="false">IF($E48="Not Scored", "N/A",IF(AND($D48='Auto Responses'!$J$27,$H48=""),"N/A",IF(AND($D48='Auto Responses'!$J$27,$H48='Auto Responses'!$J$7),1,IF(AND($D48='Auto Responses'!$J$27,$H48='Auto Responses'!$J$8),0,IF(OR($F48=$G48,$H48='Auto Responses'!$J$7),1,0)))))</f>
        <v>1</v>
      </c>
      <c r="M48" s="311" t="str">
        <f aca="false">VLOOKUP($A48,'Institution Evaluation'!$A$56:$K$346,10,0)&amp;""</f>
        <v/>
      </c>
      <c r="N48" s="311" t="n">
        <f aca="false">IF($J48="Critical Importance",1,IF(AND($J48="",$I48="Critical Importance"),1,0))</f>
        <v>0</v>
      </c>
      <c r="O48" s="283" t="n">
        <f aca="false">IF(OR($F$18="No",$E48="Not Scored"),"N/A",IF($J48="",$K48,IF($J48="Minor Importance",5,IF($J48="Standard Importance",10,IF($J48="Critical Importance",20,0)))))</f>
        <v>10</v>
      </c>
      <c r="P48" s="283" t="n">
        <f aca="false">IF(OR($O48="N/A",$L48="N/A"),"N/A",$O48*$L48)</f>
        <v>10</v>
      </c>
      <c r="Q48" s="283" t="n">
        <f aca="false">IF(M48="TRUE",1,0)</f>
        <v>0</v>
      </c>
      <c r="R48" s="283" t="n">
        <f aca="false">R47+Q48</f>
        <v>0</v>
      </c>
      <c r="S48" s="283" t="n">
        <f aca="false">IF(Q48=0,0,R48)</f>
        <v>0</v>
      </c>
      <c r="T48" s="283" t="n">
        <f aca="false">IF(N48=1,1,0)</f>
        <v>0</v>
      </c>
      <c r="U48" s="283" t="n">
        <f aca="false">U47+T48</f>
        <v>7</v>
      </c>
      <c r="V48" s="283" t="n">
        <f aca="false">IF(T48=0,0,U48)</f>
        <v>0</v>
      </c>
    </row>
    <row r="49" customFormat="false" ht="52.2" hidden="false" customHeight="false" outlineLevel="0" collapsed="false">
      <c r="A49" s="311" t="str">
        <f aca="false">Questions!$A49</f>
        <v>ITAC-18</v>
      </c>
      <c r="B49" s="311" t="str">
        <f aca="false">LEFT(A49,4)</f>
        <v>ITAC</v>
      </c>
      <c r="C49" s="311" t="str">
        <f aca="false">VLOOKUP($A49,Questions!$A$3:$L$333,2,0)&amp;""</f>
        <v>Does your product rely on activating a special "accessibility mode," a "lite version," or using an alternate interface (including “overlay” or AI-based alternates)  for accessibility purposes?</v>
      </c>
      <c r="D49" s="311" t="str">
        <f aca="false">VLOOKUP($A49,Questions!$A$3:$L$333,11,0)&amp;""</f>
        <v/>
      </c>
      <c r="E49" s="311" t="str">
        <f aca="false">VLOOKUP($A49,Questions!$A$3:$L$333,12,0)&amp;""</f>
        <v>IT Accessibility</v>
      </c>
      <c r="F49" s="311" t="str">
        <f aca="false">VLOOKUP($A49,'Institution Evaluation'!$A$56:$K$346,3,0)&amp;""</f>
        <v>no</v>
      </c>
      <c r="G49" s="311" t="str">
        <f aca="false">VLOOKUP($A49,'Institution Evaluation'!$A$56:$K$346,7,0)&amp;""</f>
        <v>No</v>
      </c>
      <c r="H49" s="311" t="str">
        <f aca="false">VLOOKUP($A49,'Institution Evaluation'!$A$56:$K$346,8,0)&amp;""</f>
        <v/>
      </c>
      <c r="I49" s="311" t="str">
        <f aca="false">VLOOKUP($A49,'Institution Evaluation'!$A$56:$K$346,9,0)&amp;""</f>
        <v>Standard Importance</v>
      </c>
      <c r="J49" s="311" t="str">
        <f aca="false">VLOOKUP($A49,'Institution Evaluation'!$A$56:$K$346,10,0)&amp;""</f>
        <v/>
      </c>
      <c r="K49" s="311" t="n">
        <f aca="false">IF($I49="Critical Importance",20,IF($I49="Minor Importance",5,10))</f>
        <v>10</v>
      </c>
      <c r="L49" s="283" t="n">
        <f aca="false">IF($E49="Not Scored", "N/A",IF(AND($D49='Auto Responses'!$J$27,$H49=""),"N/A",IF(AND($D49='Auto Responses'!$J$27,$H49='Auto Responses'!$J$7),1,IF(AND($D49='Auto Responses'!$J$27,$H49='Auto Responses'!$J$8),0,IF(OR($F49=$G49,$H49='Auto Responses'!$J$7),1,0)))))</f>
        <v>1</v>
      </c>
      <c r="M49" s="311" t="str">
        <f aca="false">VLOOKUP($A49,'Institution Evaluation'!$A$56:$K$346,10,0)&amp;""</f>
        <v/>
      </c>
      <c r="N49" s="311" t="n">
        <f aca="false">IF($J49="Critical Importance",1,IF(AND($J49="",$I49="Critical Importance"),1,0))</f>
        <v>0</v>
      </c>
      <c r="O49" s="283" t="n">
        <f aca="false">IF(OR($F$18="No",$E49="Not Scored"),"N/A",IF($J49="",$K49,IF($J49="Minor Importance",5,IF($J49="Standard Importance",10,IF($J49="Critical Importance",20,0)))))</f>
        <v>10</v>
      </c>
      <c r="P49" s="283" t="n">
        <f aca="false">IF(OR($O49="N/A",$L49="N/A"),"N/A",$O49*$L49)</f>
        <v>10</v>
      </c>
      <c r="Q49" s="283" t="n">
        <f aca="false">IF(M49="TRUE",1,0)</f>
        <v>0</v>
      </c>
      <c r="R49" s="283" t="n">
        <f aca="false">R48+Q49</f>
        <v>0</v>
      </c>
      <c r="S49" s="283" t="n">
        <f aca="false">IF(Q49=0,0,R49)</f>
        <v>0</v>
      </c>
      <c r="T49" s="283" t="n">
        <f aca="false">IF(N49=1,1,0)</f>
        <v>0</v>
      </c>
      <c r="U49" s="283" t="n">
        <f aca="false">U48+T49</f>
        <v>7</v>
      </c>
      <c r="V49" s="283" t="n">
        <f aca="false">IF(T49=0,0,U49)</f>
        <v>0</v>
      </c>
    </row>
    <row r="50" customFormat="false" ht="39.55" hidden="false" customHeight="false" outlineLevel="0" collapsed="false">
      <c r="A50" s="311" t="str">
        <f aca="false">Questions!$A51</f>
        <v>THRD-02</v>
      </c>
      <c r="B50" s="311" t="str">
        <f aca="false">LEFT(A50,4)</f>
        <v>THRD</v>
      </c>
      <c r="C50" s="311" t="str">
        <f aca="false">VLOOKUP($A50,Questions!$A$3:$L$333,2,0)&amp;""</f>
        <v>Do you have contractual language in place with third parties governing access to institutional data?*</v>
      </c>
      <c r="D50" s="311" t="str">
        <f aca="false">VLOOKUP($A50,Questions!$A$3:$L$333,11,0)&amp;""</f>
        <v/>
      </c>
      <c r="E50" s="311" t="str">
        <f aca="false">VLOOKUP($A50,Questions!$A$3:$L$333,12,0)&amp;""</f>
        <v>Organization</v>
      </c>
      <c r="F50" s="311" t="str">
        <f aca="false">VLOOKUP($A50,'Institution Evaluation'!$A$56:$K$346,3,0)&amp;""</f>
        <v>No</v>
      </c>
      <c r="G50" s="311" t="str">
        <f aca="false">VLOOKUP($A50,'Institution Evaluation'!$A$56:$K$346,7,0)&amp;""</f>
        <v>Yes</v>
      </c>
      <c r="H50" s="311" t="str">
        <f aca="false">VLOOKUP($A50,'Institution Evaluation'!$A$56:$K$346,8,0)&amp;""</f>
        <v/>
      </c>
      <c r="I50" s="311" t="str">
        <f aca="false">VLOOKUP($A50,'Institution Evaluation'!$A$56:$K$346,9,0)&amp;""</f>
        <v>Critical Importance</v>
      </c>
      <c r="J50" s="311" t="str">
        <f aca="false">VLOOKUP($A50,'Institution Evaluation'!$A$56:$K$346,10,0)&amp;""</f>
        <v/>
      </c>
      <c r="K50" s="311" t="n">
        <f aca="false">IF($I50="Critical Importance",20,IF($I50="Minor Importance",5,10))</f>
        <v>20</v>
      </c>
      <c r="L50" s="283" t="n">
        <f aca="false">IF($E50="Not Scored", "N/A",IF(AND($D50='Auto Responses'!$J$27,$H50=""),"N/A",IF(AND($D50='Auto Responses'!$J$27,$H50='Auto Responses'!$J$7),1,IF(AND($D50='Auto Responses'!$J$27,$H50='Auto Responses'!$J$8),0,IF(OR($F50=$G50,$H50='Auto Responses'!$J$7),1,0)))))</f>
        <v>0</v>
      </c>
      <c r="M50" s="311" t="str">
        <f aca="false">VLOOKUP($A50,'Institution Evaluation'!$A$56:$K$346,10,0)&amp;""</f>
        <v/>
      </c>
      <c r="N50" s="311" t="n">
        <f aca="false">IF($J50="Critical Importance",1,IF(AND($J50="",$I50="Critical Importance"),1,0))</f>
        <v>1</v>
      </c>
      <c r="O50" s="283" t="n">
        <f aca="false">IF($E50="Not Scored","N/A",IF($J50="",$K50,IF($J50="Minor Importance",5,IF($J50="Standard Importance",10,IF($J50="Critical Importance",20,0)))))</f>
        <v>20</v>
      </c>
      <c r="P50" s="283" t="n">
        <f aca="false">IF(OR($O50="N/A",$L50="N/A"),"N/A",$O50*$L50)</f>
        <v>0</v>
      </c>
      <c r="Q50" s="283" t="n">
        <f aca="false">IF(M50="TRUE",1,0)</f>
        <v>0</v>
      </c>
      <c r="R50" s="283" t="n">
        <f aca="false">R49+Q50</f>
        <v>0</v>
      </c>
      <c r="S50" s="283" t="n">
        <f aca="false">IF(Q50=0,0,R50)</f>
        <v>0</v>
      </c>
      <c r="T50" s="283" t="n">
        <f aca="false">IF(N50=1,1,0)</f>
        <v>1</v>
      </c>
      <c r="U50" s="283" t="n">
        <f aca="false">U49+T50</f>
        <v>8</v>
      </c>
      <c r="V50" s="283" t="n">
        <f aca="false">IF(T50=0,0,U50)</f>
        <v>8</v>
      </c>
    </row>
    <row r="51" customFormat="false" ht="52.2" hidden="false" customHeight="false" outlineLevel="0" collapsed="false">
      <c r="A51" s="311" t="str">
        <f aca="false">Questions!$A50</f>
        <v>THRD-01</v>
      </c>
      <c r="B51" s="311" t="str">
        <f aca="false">LEFT(A51,4)</f>
        <v>THRD</v>
      </c>
      <c r="C51" s="311" t="str">
        <f aca="false">VLOOKUP($A51,Questions!$A$3:$L$333,2,0)&amp;""</f>
        <v>Do you perform security assessments of third-party companies with which you share data (e.g., hosting providers, cloud services, PaaS, IaaS, SaaS)?*</v>
      </c>
      <c r="D51" s="311" t="str">
        <f aca="false">VLOOKUP($A51,Questions!$A$3:$L$333,11,0)&amp;""</f>
        <v/>
      </c>
      <c r="E51" s="311" t="str">
        <f aca="false">VLOOKUP($A51,Questions!$A$3:$L$333,12,0)&amp;""</f>
        <v>Organization</v>
      </c>
      <c r="F51" s="311" t="str">
        <f aca="false">VLOOKUP($A51,'Institution Evaluation'!$A$56:$K$346,3,0)&amp;""</f>
        <v>No</v>
      </c>
      <c r="G51" s="311" t="str">
        <f aca="false">VLOOKUP($A51,'Institution Evaluation'!$A$56:$K$346,7,0)&amp;""</f>
        <v>Yes</v>
      </c>
      <c r="H51" s="311" t="str">
        <f aca="false">VLOOKUP($A51,'Institution Evaluation'!$A$56:$K$346,8,0)&amp;""</f>
        <v/>
      </c>
      <c r="I51" s="311" t="str">
        <f aca="false">VLOOKUP($A51,'Institution Evaluation'!$A$56:$K$346,9,0)&amp;""</f>
        <v>Critical Importance</v>
      </c>
      <c r="J51" s="311" t="str">
        <f aca="false">VLOOKUP($A51,'Institution Evaluation'!$A$56:$K$346,10,0)&amp;""</f>
        <v/>
      </c>
      <c r="K51" s="311" t="n">
        <f aca="false">IF($I51="Critical Importance",20,IF($I51="Minor Importance",5,10))</f>
        <v>20</v>
      </c>
      <c r="L51" s="283" t="n">
        <f aca="false">IF($E51="Not Scored", "N/A",IF(AND($D51='Auto Responses'!$J$27,$H51=""),"N/A",IF(AND($D51='Auto Responses'!$J$27,$H51='Auto Responses'!$J$7),1,IF(AND($D51='Auto Responses'!$J$27,$H51='Auto Responses'!$J$8),0,IF(OR($F51=$G51,$H51='Auto Responses'!$J$7),1,0)))))</f>
        <v>0</v>
      </c>
      <c r="M51" s="311" t="str">
        <f aca="false">VLOOKUP($A51,'Institution Evaluation'!$A$56:$K$346,10,0)&amp;""</f>
        <v/>
      </c>
      <c r="N51" s="311" t="n">
        <f aca="false">IF($J51="Critical Importance",1,IF(AND($J51="",$I51="Critical Importance"),1,0))</f>
        <v>1</v>
      </c>
      <c r="O51" s="283" t="n">
        <f aca="false">IF($E51="Not Scored","N/A",IF($J51="",$K51,IF($J51="Minor Importance",5,IF($J51="Standard Importance",10,IF($J51="Critical Importance",20,0)))))</f>
        <v>20</v>
      </c>
      <c r="P51" s="283" t="n">
        <f aca="false">IF(OR($O51="N/A",$L51="N/A"),"N/A",$O51*$L51)</f>
        <v>0</v>
      </c>
      <c r="Q51" s="283" t="n">
        <f aca="false">IF(M51="TRUE",1,0)</f>
        <v>0</v>
      </c>
      <c r="R51" s="283" t="n">
        <f aca="false">R50+Q51</f>
        <v>0</v>
      </c>
      <c r="S51" s="283" t="n">
        <f aca="false">IF(Q51=0,0,R51)</f>
        <v>0</v>
      </c>
      <c r="T51" s="283" t="n">
        <f aca="false">IF(N51=1,1,0)</f>
        <v>1</v>
      </c>
      <c r="U51" s="283" t="n">
        <f aca="false">U50+T51</f>
        <v>9</v>
      </c>
      <c r="V51" s="283" t="n">
        <f aca="false">IF(T51=0,0,U51)</f>
        <v>9</v>
      </c>
    </row>
    <row r="52" customFormat="false" ht="39.55" hidden="false" customHeight="false" outlineLevel="0" collapsed="false">
      <c r="A52" s="311" t="str">
        <f aca="false">Questions!$A52</f>
        <v>THRD-03</v>
      </c>
      <c r="B52" s="311" t="str">
        <f aca="false">LEFT(A52,4)</f>
        <v>THRD</v>
      </c>
      <c r="C52" s="311" t="str">
        <f aca="false">VLOOKUP($A52,Questions!$A$3:$L$333,2,0)&amp;""</f>
        <v>Do the contracts in place with these third parties address liability in the event of a data breach?*</v>
      </c>
      <c r="D52" s="311" t="str">
        <f aca="false">VLOOKUP($A52,Questions!$A$3:$L$333,11,0)&amp;""</f>
        <v/>
      </c>
      <c r="E52" s="311" t="str">
        <f aca="false">VLOOKUP($A52,Questions!$A$3:$L$333,12,0)&amp;""</f>
        <v>Organization</v>
      </c>
      <c r="F52" s="311" t="str">
        <f aca="false">VLOOKUP($A52,'Institution Evaluation'!$A$56:$K$346,3,0)&amp;""</f>
        <v>No</v>
      </c>
      <c r="G52" s="311" t="str">
        <f aca="false">VLOOKUP($A52,'Institution Evaluation'!$A$56:$K$346,7,0)&amp;""</f>
        <v>Yes</v>
      </c>
      <c r="H52" s="311" t="str">
        <f aca="false">VLOOKUP($A52,'Institution Evaluation'!$A$56:$K$346,8,0)&amp;""</f>
        <v/>
      </c>
      <c r="I52" s="311" t="str">
        <f aca="false">VLOOKUP($A52,'Institution Evaluation'!$A$56:$K$346,9,0)&amp;""</f>
        <v>Critical Importance</v>
      </c>
      <c r="J52" s="311" t="str">
        <f aca="false">VLOOKUP($A52,'Institution Evaluation'!$A$56:$K$346,10,0)&amp;""</f>
        <v/>
      </c>
      <c r="K52" s="311" t="n">
        <f aca="false">IF($I52="Critical Importance",20,IF($I52="Minor Importance",5,10))</f>
        <v>20</v>
      </c>
      <c r="L52" s="283" t="n">
        <f aca="false">IF($E52="Not Scored", "N/A",IF(AND($D52='Auto Responses'!$J$27,$H52=""),"N/A",IF(AND($D52='Auto Responses'!$J$27,$H52='Auto Responses'!$J$7),1,IF(AND($D52='Auto Responses'!$J$27,$H52='Auto Responses'!$J$8),0,IF(OR($F52=$G52,$H52='Auto Responses'!$J$7),1,0)))))</f>
        <v>0</v>
      </c>
      <c r="M52" s="311" t="str">
        <f aca="false">VLOOKUP($A52,'Institution Evaluation'!$A$56:$K$346,10,0)&amp;""</f>
        <v/>
      </c>
      <c r="N52" s="311" t="n">
        <f aca="false">IF($J52="Critical Importance",1,IF(AND($J52="",$I52="Critical Importance"),1,0))</f>
        <v>1</v>
      </c>
      <c r="O52" s="283" t="n">
        <f aca="false">IF($E52="Not Scored","N/A",IF($J52="",$K52,IF($J52="Minor Importance",5,IF($J52="Standard Importance",10,IF($J52="Critical Importance",20,0)))))</f>
        <v>20</v>
      </c>
      <c r="P52" s="283" t="n">
        <f aca="false">IF(OR($O52="N/A",$L52="N/A"),"N/A",$O52*$L52)</f>
        <v>0</v>
      </c>
      <c r="Q52" s="283" t="n">
        <f aca="false">IF(M52="TRUE",1,0)</f>
        <v>0</v>
      </c>
      <c r="R52" s="283" t="n">
        <f aca="false">R51+Q52</f>
        <v>0</v>
      </c>
      <c r="S52" s="283" t="n">
        <f aca="false">IF(Q52=0,0,R52)</f>
        <v>0</v>
      </c>
      <c r="T52" s="283" t="n">
        <f aca="false">IF(N52=1,1,0)</f>
        <v>1</v>
      </c>
      <c r="U52" s="283" t="n">
        <f aca="false">U51+T52</f>
        <v>10</v>
      </c>
      <c r="V52" s="283" t="n">
        <f aca="false">IF(T52=0,0,U52)</f>
        <v>10</v>
      </c>
    </row>
    <row r="53" customFormat="false" ht="26.85" hidden="false" customHeight="false" outlineLevel="0" collapsed="false">
      <c r="A53" s="311" t="str">
        <f aca="false">Questions!$A53</f>
        <v>THRD-04</v>
      </c>
      <c r="B53" s="311" t="str">
        <f aca="false">LEFT(A53,4)</f>
        <v>THRD</v>
      </c>
      <c r="C53" s="311" t="str">
        <f aca="false">VLOOKUP($A53,Questions!$A$3:$L$333,2,0)&amp;""</f>
        <v>Do you have an implemented third-party management strategy?*</v>
      </c>
      <c r="D53" s="311" t="str">
        <f aca="false">VLOOKUP($A53,Questions!$A$3:$L$333,11,0)&amp;""</f>
        <v/>
      </c>
      <c r="E53" s="311" t="str">
        <f aca="false">VLOOKUP($A53,Questions!$A$3:$L$333,12,0)&amp;""</f>
        <v>Organization</v>
      </c>
      <c r="F53" s="311" t="str">
        <f aca="false">VLOOKUP($A53,'Institution Evaluation'!$A$56:$K$346,3,0)&amp;""</f>
        <v>No</v>
      </c>
      <c r="G53" s="311" t="str">
        <f aca="false">VLOOKUP($A53,'Institution Evaluation'!$A$56:$K$346,7,0)&amp;""</f>
        <v>Yes</v>
      </c>
      <c r="H53" s="311" t="str">
        <f aca="false">VLOOKUP($A53,'Institution Evaluation'!$A$56:$K$346,8,0)&amp;""</f>
        <v/>
      </c>
      <c r="I53" s="311" t="str">
        <f aca="false">VLOOKUP($A53,'Institution Evaluation'!$A$56:$K$346,9,0)&amp;""</f>
        <v>Critical Importance</v>
      </c>
      <c r="J53" s="311" t="str">
        <f aca="false">VLOOKUP($A53,'Institution Evaluation'!$A$56:$K$346,10,0)&amp;""</f>
        <v/>
      </c>
      <c r="K53" s="311" t="n">
        <f aca="false">IF($I53="Critical Importance",20,IF($I53="Minor Importance",5,10))</f>
        <v>20</v>
      </c>
      <c r="L53" s="283" t="n">
        <f aca="false">IF($E53="Not Scored", "N/A",IF(AND($D53='Auto Responses'!$J$27,$H53=""),"N/A",IF(AND($D53='Auto Responses'!$J$27,$H53='Auto Responses'!$J$7),1,IF(AND($D53='Auto Responses'!$J$27,$H53='Auto Responses'!$J$8),0,IF(OR($F53=$G53,$H53='Auto Responses'!$J$7),1,0)))))</f>
        <v>0</v>
      </c>
      <c r="M53" s="311" t="str">
        <f aca="false">VLOOKUP($A53,'Institution Evaluation'!$A$56:$K$346,10,0)&amp;""</f>
        <v/>
      </c>
      <c r="N53" s="311" t="n">
        <f aca="false">IF($J53="Critical Importance",1,IF(AND($J53="",$I53="Critical Importance"),1,0))</f>
        <v>1</v>
      </c>
      <c r="O53" s="283" t="n">
        <f aca="false">IF($E53="Not Scored","N/A",IF($J53="",$K53,IF($J53="Minor Importance",5,IF($J53="Standard Importance",10,IF($J53="Critical Importance",20,0)))))</f>
        <v>20</v>
      </c>
      <c r="P53" s="283" t="n">
        <f aca="false">IF(OR($O53="N/A",$L53="N/A"),"N/A",$O53*$L53)</f>
        <v>0</v>
      </c>
      <c r="Q53" s="283" t="n">
        <f aca="false">IF(M53="TRUE",1,0)</f>
        <v>0</v>
      </c>
      <c r="R53" s="283" t="n">
        <f aca="false">R52+Q53</f>
        <v>0</v>
      </c>
      <c r="S53" s="283" t="n">
        <f aca="false">IF(Q53=0,0,R53)</f>
        <v>0</v>
      </c>
      <c r="T53" s="283" t="n">
        <f aca="false">IF(N53=1,1,0)</f>
        <v>1</v>
      </c>
      <c r="U53" s="283" t="n">
        <f aca="false">U52+T53</f>
        <v>11</v>
      </c>
      <c r="V53" s="283" t="n">
        <f aca="false">IF(T53=0,0,U53)</f>
        <v>11</v>
      </c>
    </row>
    <row r="54" customFormat="false" ht="64.9" hidden="false" customHeight="false" outlineLevel="0" collapsed="false">
      <c r="A54" s="311" t="str">
        <f aca="false">Questions!$A54</f>
        <v>THRD-05</v>
      </c>
      <c r="B54" s="311" t="str">
        <f aca="false">LEFT(A54,4)</f>
        <v>THRD</v>
      </c>
      <c r="C54" s="311" t="str">
        <f aca="false">VLOOKUP($A54,Questions!$A$3:$L$333,2,0)&amp;""</f>
        <v>Do you have a process and implemented procedures for managing your hardware supply chain (e.g., telecommunications equipment, export licensing, computing devices)?</v>
      </c>
      <c r="D54" s="311" t="str">
        <f aca="false">VLOOKUP($A54,Questions!$A$3:$L$333,11,0)&amp;""</f>
        <v/>
      </c>
      <c r="E54" s="311" t="str">
        <f aca="false">VLOOKUP($A54,Questions!$A$3:$L$333,12,0)&amp;""</f>
        <v>Organization</v>
      </c>
      <c r="F54" s="311" t="str">
        <f aca="false">VLOOKUP($A54,'Institution Evaluation'!$A$56:$K$346,3,0)&amp;""</f>
        <v>No</v>
      </c>
      <c r="G54" s="311" t="str">
        <f aca="false">VLOOKUP($A54,'Institution Evaluation'!$A$56:$K$346,7,0)&amp;""</f>
        <v>Yes</v>
      </c>
      <c r="H54" s="311" t="str">
        <f aca="false">VLOOKUP($A54,'Institution Evaluation'!$A$56:$K$346,8,0)&amp;""</f>
        <v/>
      </c>
      <c r="I54" s="311" t="str">
        <f aca="false">VLOOKUP($A54,'Institution Evaluation'!$A$56:$K$346,9,0)&amp;""</f>
        <v>Standard Importance</v>
      </c>
      <c r="J54" s="311" t="str">
        <f aca="false">VLOOKUP($A54,'Institution Evaluation'!$A$56:$K$346,10,0)&amp;""</f>
        <v/>
      </c>
      <c r="K54" s="311" t="n">
        <f aca="false">IF($I54="Critical Importance",20,IF($I54="Minor Importance",5,10))</f>
        <v>10</v>
      </c>
      <c r="L54" s="283" t="n">
        <f aca="false">IF($E54="Not Scored", "N/A",IF(AND($D54='Auto Responses'!$J$27,$H54=""),"N/A",IF(AND($D54='Auto Responses'!$J$27,$H54='Auto Responses'!$J$7),1,IF(AND($D54='Auto Responses'!$J$27,$H54='Auto Responses'!$J$8),0,IF(OR($F54=$G54,$H54='Auto Responses'!$J$7),1,0)))))</f>
        <v>0</v>
      </c>
      <c r="M54" s="311" t="str">
        <f aca="false">VLOOKUP($A54,'Institution Evaluation'!$A$56:$K$346,10,0)&amp;""</f>
        <v/>
      </c>
      <c r="N54" s="311" t="n">
        <f aca="false">IF($J54="Critical Importance",1,IF(AND($J54="",$I54="Critical Importance"),1,0))</f>
        <v>0</v>
      </c>
      <c r="O54" s="283" t="n">
        <f aca="false">IF($E54="Not Scored","N/A",IF($J54="",$K54,IF($J54="Minor Importance",5,IF($J54="Standard Importance",10,IF($J54="Critical Importance",20,0)))))</f>
        <v>10</v>
      </c>
      <c r="P54" s="283" t="n">
        <f aca="false">IF(OR($O54="N/A",$L54="N/A"),"N/A",$O54*$L54)</f>
        <v>0</v>
      </c>
      <c r="Q54" s="283" t="n">
        <f aca="false">IF(M54="TRUE",1,0)</f>
        <v>0</v>
      </c>
      <c r="R54" s="283" t="n">
        <f aca="false">R53+Q54</f>
        <v>0</v>
      </c>
      <c r="S54" s="283" t="n">
        <f aca="false">IF(Q54=0,0,R54)</f>
        <v>0</v>
      </c>
      <c r="T54" s="283" t="n">
        <f aca="false">IF(N54=1,1,0)</f>
        <v>0</v>
      </c>
      <c r="U54" s="283" t="n">
        <f aca="false">U53+T54</f>
        <v>11</v>
      </c>
      <c r="V54" s="283" t="n">
        <f aca="false">IF(T54=0,0,U54)</f>
        <v>0</v>
      </c>
    </row>
    <row r="55" customFormat="false" ht="26.85" hidden="false" customHeight="false" outlineLevel="0" collapsed="false">
      <c r="A55" s="311" t="str">
        <f aca="false">Questions!$A55</f>
        <v>CONS-01</v>
      </c>
      <c r="B55" s="311" t="str">
        <f aca="false">LEFT(A55,4)</f>
        <v>CONS</v>
      </c>
      <c r="C55" s="311" t="str">
        <f aca="false">VLOOKUP($A55,Questions!$A$3:$L$333,2,0)&amp;""</f>
        <v>Will the consultant require access to the institution's network resources?*</v>
      </c>
      <c r="D55" s="311" t="str">
        <f aca="false">VLOOKUP($A55,Questions!$A$3:$L$333,11,0)&amp;""</f>
        <v/>
      </c>
      <c r="E55" s="311" t="str">
        <f aca="false">VLOOKUP($A55,Questions!$A$3:$L$333,12,0)&amp;""</f>
        <v>Case-Specific</v>
      </c>
      <c r="F55" s="311" t="str">
        <f aca="false">VLOOKUP($A55,'Institution Evaluation'!$A$56:$K$346,3,0)&amp;""</f>
        <v/>
      </c>
      <c r="G55" s="311" t="str">
        <f aca="false">VLOOKUP($A55,'Institution Evaluation'!$A$56:$K$346,7,0)&amp;""</f>
        <v>No</v>
      </c>
      <c r="H55" s="311" t="str">
        <f aca="false">VLOOKUP($A55,'Institution Evaluation'!$A$56:$K$346,8,0)&amp;""</f>
        <v/>
      </c>
      <c r="I55" s="311" t="str">
        <f aca="false">VLOOKUP($A55,'Institution Evaluation'!$A$56:$K$346,9,0)&amp;""</f>
        <v>Critical Importance</v>
      </c>
      <c r="J55" s="311" t="str">
        <f aca="false">VLOOKUP($A55,'Institution Evaluation'!$A$56:$K$346,10,0)&amp;""</f>
        <v/>
      </c>
      <c r="K55" s="311" t="n">
        <f aca="false">IF($I55="Critical Importance",20,IF($I55="Minor Importance",5,10))</f>
        <v>20</v>
      </c>
      <c r="L55" s="283" t="n">
        <f aca="false">IF($E55="Not Scored", "N/A",IF(AND($D55='Auto Responses'!$J$27,$H55=""),"N/A",IF(AND($D55='Auto Responses'!$J$27,$H55='Auto Responses'!$J$7),1,IF(AND($D55='Auto Responses'!$J$27,$H55='Auto Responses'!$J$8),0,IF(OR($F55=$G55,$H55='Auto Responses'!$J$7),1,0)))))</f>
        <v>0</v>
      </c>
      <c r="M55" s="311" t="str">
        <f aca="false">VLOOKUP($A55,'Institution Evaluation'!$A$56:$K$346,10,0)&amp;""</f>
        <v/>
      </c>
      <c r="N55" s="311" t="n">
        <f aca="false">IF($J55="Critical Importance",1,IF(AND($J55="",$I55="Critical Importance"),1,0))</f>
        <v>1</v>
      </c>
      <c r="O55" s="283" t="str">
        <f aca="false">IF(OR($F$19="No",$E55="Not Scored"),"N/A",IF($J55="",$K55,IF($J55="Minor Importance",5,IF($J55="Standard Importance",10,IF($J55="Critical Importance",20,0)))))</f>
        <v>N/A</v>
      </c>
      <c r="P55" s="283" t="str">
        <f aca="false">IF(OR($O55="N/A",$L55="N/A"),"N/A",$O55*$L55)</f>
        <v>N/A</v>
      </c>
      <c r="Q55" s="283" t="n">
        <f aca="false">IF(M55="TRUE",1,0)</f>
        <v>0</v>
      </c>
      <c r="R55" s="283" t="n">
        <f aca="false">R54+Q55</f>
        <v>0</v>
      </c>
      <c r="S55" s="283" t="n">
        <f aca="false">IF(Q55=0,0,R55)</f>
        <v>0</v>
      </c>
      <c r="T55" s="283" t="n">
        <f aca="false">IF(N55=1,1,0)</f>
        <v>1</v>
      </c>
      <c r="U55" s="283" t="n">
        <f aca="false">U54+T55</f>
        <v>12</v>
      </c>
      <c r="V55" s="283" t="n">
        <f aca="false">IF(T55=0,0,U55)</f>
        <v>12</v>
      </c>
    </row>
    <row r="56" customFormat="false" ht="26.85" hidden="false" customHeight="false" outlineLevel="0" collapsed="false">
      <c r="A56" s="311" t="str">
        <f aca="false">Questions!$A56</f>
        <v>CONS-02</v>
      </c>
      <c r="B56" s="311" t="str">
        <f aca="false">LEFT(A56,4)</f>
        <v>CONS</v>
      </c>
      <c r="C56" s="311" t="str">
        <f aca="false">VLOOKUP($A56,Questions!$A$3:$L$333,2,0)&amp;""</f>
        <v>Has the consultant received training on (sensitive, HIPAA, PCI, etc.) data handling?*</v>
      </c>
      <c r="D56" s="311" t="str">
        <f aca="false">VLOOKUP($A56,Questions!$A$3:$L$333,11,0)&amp;""</f>
        <v/>
      </c>
      <c r="E56" s="311" t="str">
        <f aca="false">VLOOKUP($A56,Questions!$A$3:$L$333,12,0)&amp;""</f>
        <v>Case-Specific</v>
      </c>
      <c r="F56" s="311" t="str">
        <f aca="false">VLOOKUP($A56,'Institution Evaluation'!$A$56:$K$346,3,0)&amp;""</f>
        <v/>
      </c>
      <c r="G56" s="311" t="str">
        <f aca="false">VLOOKUP($A56,'Institution Evaluation'!$A$56:$K$346,7,0)&amp;""</f>
        <v>Yes</v>
      </c>
      <c r="H56" s="311" t="str">
        <f aca="false">VLOOKUP($A56,'Institution Evaluation'!$A$56:$K$346,8,0)&amp;""</f>
        <v/>
      </c>
      <c r="I56" s="311" t="str">
        <f aca="false">VLOOKUP($A56,'Institution Evaluation'!$A$56:$K$346,9,0)&amp;""</f>
        <v>Critical Importance</v>
      </c>
      <c r="J56" s="311" t="str">
        <f aca="false">VLOOKUP($A56,'Institution Evaluation'!$A$56:$K$346,10,0)&amp;""</f>
        <v/>
      </c>
      <c r="K56" s="311" t="n">
        <f aca="false">IF($I56="Critical Importance",20,IF($I56="Minor Importance",5,10))</f>
        <v>20</v>
      </c>
      <c r="L56" s="283" t="n">
        <f aca="false">IF($E56="Not Scored", "N/A",IF(AND($D56='Auto Responses'!$J$27,$H56=""),"N/A",IF(AND($D56='Auto Responses'!$J$27,$H56='Auto Responses'!$J$7),1,IF(AND($D56='Auto Responses'!$J$27,$H56='Auto Responses'!$J$8),0,IF(OR($F56=$G56,$H56='Auto Responses'!$J$7),1,0)))))</f>
        <v>0</v>
      </c>
      <c r="M56" s="311" t="str">
        <f aca="false">VLOOKUP($A56,'Institution Evaluation'!$A$56:$K$346,10,0)&amp;""</f>
        <v/>
      </c>
      <c r="N56" s="311" t="n">
        <f aca="false">IF($J56="Critical Importance",1,IF(AND($J56="",$I56="Critical Importance"),1,0))</f>
        <v>1</v>
      </c>
      <c r="O56" s="283" t="str">
        <f aca="false">IF(OR($F$19="No",$E56="Not Scored"),"N/A",IF($J56="",$K56,IF($J56="Minor Importance",5,IF($J56="Standard Importance",10,IF($J56="Critical Importance",20,0)))))</f>
        <v>N/A</v>
      </c>
      <c r="P56" s="283" t="str">
        <f aca="false">IF(OR($O56="N/A",$L56="N/A"),"N/A",$O56*$L56)</f>
        <v>N/A</v>
      </c>
      <c r="Q56" s="283" t="n">
        <f aca="false">IF(M56="TRUE",1,0)</f>
        <v>0</v>
      </c>
      <c r="R56" s="283" t="n">
        <f aca="false">R55+Q56</f>
        <v>0</v>
      </c>
      <c r="S56" s="283" t="n">
        <f aca="false">IF(Q56=0,0,R56)</f>
        <v>0</v>
      </c>
      <c r="T56" s="283" t="n">
        <f aca="false">IF(N56=1,1,0)</f>
        <v>1</v>
      </c>
      <c r="U56" s="283" t="n">
        <f aca="false">U55+T56</f>
        <v>13</v>
      </c>
      <c r="V56" s="283" t="n">
        <f aca="false">IF(T56=0,0,U56)</f>
        <v>13</v>
      </c>
    </row>
    <row r="57" customFormat="false" ht="26.85" hidden="false" customHeight="false" outlineLevel="0" collapsed="false">
      <c r="A57" s="311" t="str">
        <f aca="false">Questions!$A57</f>
        <v>CONS-03</v>
      </c>
      <c r="B57" s="311" t="str">
        <f aca="false">LEFT(A57,4)</f>
        <v>CONS</v>
      </c>
      <c r="C57" s="311" t="str">
        <f aca="false">VLOOKUP($A57,Questions!$A$3:$L$333,2,0)&amp;""</f>
        <v>Is the data encrypted (at rest) while in the consultant's possession?*</v>
      </c>
      <c r="D57" s="311" t="str">
        <f aca="false">VLOOKUP($A57,Questions!$A$3:$L$333,11,0)&amp;""</f>
        <v/>
      </c>
      <c r="E57" s="311" t="str">
        <f aca="false">VLOOKUP($A57,Questions!$A$3:$L$333,12,0)&amp;""</f>
        <v>Case-Specific</v>
      </c>
      <c r="F57" s="311" t="str">
        <f aca="false">VLOOKUP($A57,'Institution Evaluation'!$A$56:$K$346,3,0)&amp;""</f>
        <v/>
      </c>
      <c r="G57" s="311" t="str">
        <f aca="false">VLOOKUP($A57,'Institution Evaluation'!$A$56:$K$346,7,0)&amp;""</f>
        <v>Yes</v>
      </c>
      <c r="H57" s="311" t="str">
        <f aca="false">VLOOKUP($A57,'Institution Evaluation'!$A$56:$K$346,8,0)&amp;""</f>
        <v/>
      </c>
      <c r="I57" s="311" t="str">
        <f aca="false">VLOOKUP($A57,'Institution Evaluation'!$A$56:$K$346,9,0)&amp;""</f>
        <v>Critical Importance</v>
      </c>
      <c r="J57" s="311" t="str">
        <f aca="false">VLOOKUP($A57,'Institution Evaluation'!$A$56:$K$346,10,0)&amp;""</f>
        <v/>
      </c>
      <c r="K57" s="311" t="n">
        <f aca="false">IF($I57="Critical Importance",20,IF($I57="Minor Importance",5,10))</f>
        <v>20</v>
      </c>
      <c r="L57" s="283" t="n">
        <f aca="false">IF($E57="Not Scored", "N/A",IF(AND($D57='Auto Responses'!$J$27,$H57=""),"N/A",IF(AND($D57='Auto Responses'!$J$27,$H57='Auto Responses'!$J$7),1,IF(AND($D57='Auto Responses'!$J$27,$H57='Auto Responses'!$J$8),0,IF(OR($F57=$G57,$H57='Auto Responses'!$J$7),1,0)))))</f>
        <v>0</v>
      </c>
      <c r="M57" s="311" t="str">
        <f aca="false">VLOOKUP($A57,'Institution Evaluation'!$A$56:$K$346,10,0)&amp;""</f>
        <v/>
      </c>
      <c r="N57" s="311" t="n">
        <f aca="false">IF($J57="Critical Importance",1,IF(AND($J57="",$I57="Critical Importance"),1,0))</f>
        <v>1</v>
      </c>
      <c r="O57" s="283" t="str">
        <f aca="false">IF(OR($F$19="No",$E57="Not Scored"),"N/A",IF($J57="",$K57,IF($J57="Minor Importance",5,IF($J57="Standard Importance",10,IF($J57="Critical Importance",20,0)))))</f>
        <v>N/A</v>
      </c>
      <c r="P57" s="283" t="str">
        <f aca="false">IF(OR($O57="N/A",$L57="N/A"),"N/A",$O57*$L57)</f>
        <v>N/A</v>
      </c>
      <c r="Q57" s="283" t="n">
        <f aca="false">IF(M57="TRUE",1,0)</f>
        <v>0</v>
      </c>
      <c r="R57" s="283" t="n">
        <f aca="false">R56+Q57</f>
        <v>0</v>
      </c>
      <c r="S57" s="283" t="n">
        <f aca="false">IF(Q57=0,0,R57)</f>
        <v>0</v>
      </c>
      <c r="T57" s="283" t="n">
        <f aca="false">IF(N57=1,1,0)</f>
        <v>1</v>
      </c>
      <c r="U57" s="283" t="n">
        <f aca="false">U56+T57</f>
        <v>14</v>
      </c>
      <c r="V57" s="283" t="n">
        <f aca="false">IF(T57=0,0,U57)</f>
        <v>14</v>
      </c>
    </row>
    <row r="58" customFormat="false" ht="26.85" hidden="false" customHeight="false" outlineLevel="0" collapsed="false">
      <c r="A58" s="311" t="str">
        <f aca="false">Questions!$A58</f>
        <v>CONS-04</v>
      </c>
      <c r="B58" s="311" t="str">
        <f aca="false">LEFT(A58,4)</f>
        <v>CONS</v>
      </c>
      <c r="C58" s="311" t="str">
        <f aca="false">VLOOKUP($A58,Questions!$A$3:$L$333,2,0)&amp;""</f>
        <v>Can access be restricted based on source IP address?*</v>
      </c>
      <c r="D58" s="311" t="str">
        <f aca="false">VLOOKUP($A58,Questions!$A$3:$L$333,11,0)&amp;""</f>
        <v/>
      </c>
      <c r="E58" s="311" t="str">
        <f aca="false">VLOOKUP($A58,Questions!$A$3:$L$333,12,0)&amp;""</f>
        <v>Case-Specific</v>
      </c>
      <c r="F58" s="311" t="str">
        <f aca="false">VLOOKUP($A58,'Institution Evaluation'!$A$56:$K$346,3,0)&amp;""</f>
        <v/>
      </c>
      <c r="G58" s="311" t="str">
        <f aca="false">VLOOKUP($A58,'Institution Evaluation'!$A$56:$K$346,7,0)&amp;""</f>
        <v>Yes</v>
      </c>
      <c r="H58" s="311" t="str">
        <f aca="false">VLOOKUP($A58,'Institution Evaluation'!$A$56:$K$346,8,0)&amp;""</f>
        <v/>
      </c>
      <c r="I58" s="311" t="str">
        <f aca="false">VLOOKUP($A58,'Institution Evaluation'!$A$56:$K$346,9,0)&amp;""</f>
        <v>Critical Importance</v>
      </c>
      <c r="J58" s="311" t="str">
        <f aca="false">VLOOKUP($A58,'Institution Evaluation'!$A$56:$K$346,10,0)&amp;""</f>
        <v/>
      </c>
      <c r="K58" s="311" t="n">
        <f aca="false">IF($I58="Critical Importance",20,IF($I58="Minor Importance",5,10))</f>
        <v>20</v>
      </c>
      <c r="L58" s="283" t="n">
        <f aca="false">IF($E58="Not Scored", "N/A",IF(AND($D58='Auto Responses'!$J$27,$H58=""),"N/A",IF(AND($D58='Auto Responses'!$J$27,$H58='Auto Responses'!$J$7),1,IF(AND($D58='Auto Responses'!$J$27,$H58='Auto Responses'!$J$8),0,IF(OR($F58=$G58,$H58='Auto Responses'!$J$7),1,0)))))</f>
        <v>0</v>
      </c>
      <c r="M58" s="311" t="str">
        <f aca="false">VLOOKUP($A58,'Institution Evaluation'!$A$56:$K$346,10,0)&amp;""</f>
        <v/>
      </c>
      <c r="N58" s="311" t="n">
        <f aca="false">IF($J58="Critical Importance",1,IF(AND($J58="",$I58="Critical Importance"),1,0))</f>
        <v>1</v>
      </c>
      <c r="O58" s="283" t="str">
        <f aca="false">IF(OR($F$19="No",$E58="Not Scored"),"N/A",IF($J58="",$K58,IF($J58="Minor Importance",5,IF($J58="Standard Importance",10,IF($J58="Critical Importance",20,0)))))</f>
        <v>N/A</v>
      </c>
      <c r="P58" s="283" t="str">
        <f aca="false">IF(OR($O58="N/A",$L58="N/A"),"N/A",$O58*$L58)</f>
        <v>N/A</v>
      </c>
      <c r="Q58" s="283" t="n">
        <f aca="false">IF(M58="TRUE",1,0)</f>
        <v>0</v>
      </c>
      <c r="R58" s="283" t="n">
        <f aca="false">R57+Q58</f>
        <v>0</v>
      </c>
      <c r="S58" s="283" t="n">
        <f aca="false">IF(Q58=0,0,R58)</f>
        <v>0</v>
      </c>
      <c r="T58" s="283" t="n">
        <f aca="false">IF(N58=1,1,0)</f>
        <v>1</v>
      </c>
      <c r="U58" s="283" t="n">
        <f aca="false">U57+T58</f>
        <v>15</v>
      </c>
      <c r="V58" s="283" t="n">
        <f aca="false">IF(T58=0,0,U58)</f>
        <v>15</v>
      </c>
    </row>
    <row r="59" customFormat="false" ht="26.85" hidden="false" customHeight="false" outlineLevel="0" collapsed="false">
      <c r="A59" s="311" t="str">
        <f aca="false">Questions!$A59</f>
        <v>CONS-05</v>
      </c>
      <c r="B59" s="311" t="str">
        <f aca="false">LEFT(A59,4)</f>
        <v>CONS</v>
      </c>
      <c r="C59" s="311" t="str">
        <f aca="false">VLOOKUP($A59,Questions!$A$3:$L$333,2,0)&amp;""</f>
        <v>Will the consulting take place on-premises?</v>
      </c>
      <c r="D59" s="311" t="str">
        <f aca="false">VLOOKUP($A59,Questions!$A$3:$L$333,11,0)&amp;""</f>
        <v/>
      </c>
      <c r="E59" s="311" t="str">
        <f aca="false">VLOOKUP($A59,Questions!$A$3:$L$333,12,0)&amp;""</f>
        <v>Case-Specific</v>
      </c>
      <c r="F59" s="311" t="str">
        <f aca="false">VLOOKUP($A59,'Institution Evaluation'!$A$56:$K$346,3,0)&amp;""</f>
        <v/>
      </c>
      <c r="G59" s="311" t="str">
        <f aca="false">VLOOKUP($A59,'Institution Evaluation'!$A$56:$K$346,7,0)&amp;""</f>
        <v>No</v>
      </c>
      <c r="H59" s="311" t="str">
        <f aca="false">VLOOKUP($A59,'Institution Evaluation'!$A$56:$K$346,8,0)&amp;""</f>
        <v/>
      </c>
      <c r="I59" s="311" t="str">
        <f aca="false">VLOOKUP($A59,'Institution Evaluation'!$A$56:$K$346,9,0)&amp;""</f>
        <v>Standard Importance</v>
      </c>
      <c r="J59" s="311" t="str">
        <f aca="false">VLOOKUP($A59,'Institution Evaluation'!$A$56:$K$346,10,0)&amp;""</f>
        <v/>
      </c>
      <c r="K59" s="311" t="n">
        <f aca="false">IF($I59="Critical Importance",20,IF($I59="Minor Importance",5,10))</f>
        <v>10</v>
      </c>
      <c r="L59" s="283" t="n">
        <f aca="false">IF($E59="Not Scored", "N/A",IF(AND($D59='Auto Responses'!$J$27,$H59=""),"N/A",IF(AND($D59='Auto Responses'!$J$27,$H59='Auto Responses'!$J$7),1,IF(AND($D59='Auto Responses'!$J$27,$H59='Auto Responses'!$J$8),0,IF(OR($F59=$G59,$H59='Auto Responses'!$J$7),1,0)))))</f>
        <v>0</v>
      </c>
      <c r="M59" s="311" t="str">
        <f aca="false">VLOOKUP($A59,'Institution Evaluation'!$A$56:$K$346,10,0)&amp;""</f>
        <v/>
      </c>
      <c r="N59" s="311" t="n">
        <f aca="false">IF($J59="Critical Importance",1,IF(AND($J59="",$I59="Critical Importance"),1,0))</f>
        <v>0</v>
      </c>
      <c r="O59" s="283" t="str">
        <f aca="false">IF(OR($F$19="No",$E59="Not Scored"),"N/A",IF($J59="",$K59,IF($J59="Minor Importance",5,IF($J59="Standard Importance",10,IF($J59="Critical Importance",20,0)))))</f>
        <v>N/A</v>
      </c>
      <c r="P59" s="283" t="str">
        <f aca="false">IF(OR($O59="N/A",$L59="N/A"),"N/A",$O59*$L59)</f>
        <v>N/A</v>
      </c>
      <c r="Q59" s="283" t="n">
        <f aca="false">IF(M59="TRUE",1,0)</f>
        <v>0</v>
      </c>
      <c r="R59" s="283" t="n">
        <f aca="false">R58+Q59</f>
        <v>0</v>
      </c>
      <c r="S59" s="283" t="n">
        <f aca="false">IF(Q59=0,0,R59)</f>
        <v>0</v>
      </c>
      <c r="T59" s="283" t="n">
        <f aca="false">IF(N59=1,1,0)</f>
        <v>0</v>
      </c>
      <c r="U59" s="283" t="n">
        <f aca="false">U58+T59</f>
        <v>15</v>
      </c>
      <c r="V59" s="283" t="n">
        <f aca="false">IF(T59=0,0,U59)</f>
        <v>0</v>
      </c>
    </row>
    <row r="60" customFormat="false" ht="26.85" hidden="false" customHeight="false" outlineLevel="0" collapsed="false">
      <c r="A60" s="311" t="str">
        <f aca="false">Questions!$A60</f>
        <v>CONS-06</v>
      </c>
      <c r="B60" s="311" t="str">
        <f aca="false">LEFT(A60,4)</f>
        <v>CONS</v>
      </c>
      <c r="C60" s="311" t="str">
        <f aca="false">VLOOKUP($A60,Questions!$A$3:$L$333,2,0)&amp;""</f>
        <v>Will the consultant require access to hardware in the institution's data centers?</v>
      </c>
      <c r="D60" s="311" t="str">
        <f aca="false">VLOOKUP($A60,Questions!$A$3:$L$333,11,0)&amp;""</f>
        <v/>
      </c>
      <c r="E60" s="311" t="str">
        <f aca="false">VLOOKUP($A60,Questions!$A$3:$L$333,12,0)&amp;""</f>
        <v>Case-Specific</v>
      </c>
      <c r="F60" s="311" t="str">
        <f aca="false">VLOOKUP($A60,'Institution Evaluation'!$A$56:$K$346,3,0)&amp;""</f>
        <v/>
      </c>
      <c r="G60" s="311" t="str">
        <f aca="false">VLOOKUP($A60,'Institution Evaluation'!$A$56:$K$346,7,0)&amp;""</f>
        <v>No</v>
      </c>
      <c r="H60" s="311" t="str">
        <f aca="false">VLOOKUP($A60,'Institution Evaluation'!$A$56:$K$346,8,0)&amp;""</f>
        <v/>
      </c>
      <c r="I60" s="311" t="str">
        <f aca="false">VLOOKUP($A60,'Institution Evaluation'!$A$56:$K$346,9,0)&amp;""</f>
        <v>Standard Importance</v>
      </c>
      <c r="J60" s="311" t="str">
        <f aca="false">VLOOKUP($A60,'Institution Evaluation'!$A$56:$K$346,10,0)&amp;""</f>
        <v/>
      </c>
      <c r="K60" s="311" t="n">
        <f aca="false">IF($I60="Critical Importance",20,IF($I60="Minor Importance",5,10))</f>
        <v>10</v>
      </c>
      <c r="L60" s="283" t="n">
        <f aca="false">IF($E60="Not Scored", "N/A",IF(AND($D60='Auto Responses'!$J$27,$H60=""),"N/A",IF(AND($D60='Auto Responses'!$J$27,$H60='Auto Responses'!$J$7),1,IF(AND($D60='Auto Responses'!$J$27,$H60='Auto Responses'!$J$8),0,IF(OR($F60=$G60,$H60='Auto Responses'!$J$7),1,0)))))</f>
        <v>0</v>
      </c>
      <c r="M60" s="311" t="str">
        <f aca="false">VLOOKUP($A60,'Institution Evaluation'!$A$56:$K$346,10,0)&amp;""</f>
        <v/>
      </c>
      <c r="N60" s="311" t="n">
        <f aca="false">IF($J60="Critical Importance",1,IF(AND($J60="",$I60="Critical Importance"),1,0))</f>
        <v>0</v>
      </c>
      <c r="O60" s="283" t="str">
        <f aca="false">IF(OR($F$19="No",$E60="Not Scored"),"N/A",IF($J60="",$K60,IF($J60="Minor Importance",5,IF($J60="Standard Importance",10,IF($J60="Critical Importance",20,0)))))</f>
        <v>N/A</v>
      </c>
      <c r="P60" s="283" t="str">
        <f aca="false">IF(OR($O60="N/A",$L60="N/A"),"N/A",$O60*$L60)</f>
        <v>N/A</v>
      </c>
      <c r="Q60" s="283" t="n">
        <f aca="false">IF(M60="TRUE",1,0)</f>
        <v>0</v>
      </c>
      <c r="R60" s="283" t="n">
        <f aca="false">R59+Q60</f>
        <v>0</v>
      </c>
      <c r="S60" s="283" t="n">
        <f aca="false">IF(Q60=0,0,R60)</f>
        <v>0</v>
      </c>
      <c r="T60" s="283" t="n">
        <f aca="false">IF(N60=1,1,0)</f>
        <v>0</v>
      </c>
      <c r="U60" s="283" t="n">
        <f aca="false">U59+T60</f>
        <v>15</v>
      </c>
      <c r="V60" s="283" t="n">
        <f aca="false">IF(T60=0,0,U60)</f>
        <v>0</v>
      </c>
    </row>
    <row r="61" customFormat="false" ht="26.85" hidden="false" customHeight="false" outlineLevel="0" collapsed="false">
      <c r="A61" s="311" t="str">
        <f aca="false">Questions!$A61</f>
        <v>CONS-07</v>
      </c>
      <c r="B61" s="311" t="str">
        <f aca="false">LEFT(A61,4)</f>
        <v>CONS</v>
      </c>
      <c r="C61" s="311" t="str">
        <f aca="false">VLOOKUP($A61,Questions!$A$3:$L$333,2,0)&amp;""</f>
        <v>Will the consultant require an account within the institution's domain (@*.edu)?</v>
      </c>
      <c r="D61" s="311" t="str">
        <f aca="false">VLOOKUP($A61,Questions!$A$3:$L$333,11,0)&amp;""</f>
        <v/>
      </c>
      <c r="E61" s="311" t="str">
        <f aca="false">VLOOKUP($A61,Questions!$A$3:$L$333,12,0)&amp;""</f>
        <v>Case-Specific</v>
      </c>
      <c r="F61" s="311" t="str">
        <f aca="false">VLOOKUP($A61,'Institution Evaluation'!$A$56:$K$346,3,0)&amp;""</f>
        <v/>
      </c>
      <c r="G61" s="311" t="str">
        <f aca="false">VLOOKUP($A61,'Institution Evaluation'!$A$56:$K$346,7,0)&amp;""</f>
        <v>No</v>
      </c>
      <c r="H61" s="311" t="str">
        <f aca="false">VLOOKUP($A61,'Institution Evaluation'!$A$56:$K$346,8,0)&amp;""</f>
        <v/>
      </c>
      <c r="I61" s="311" t="str">
        <f aca="false">VLOOKUP($A61,'Institution Evaluation'!$A$56:$K$346,9,0)&amp;""</f>
        <v>Standard Importance</v>
      </c>
      <c r="J61" s="311" t="str">
        <f aca="false">VLOOKUP($A61,'Institution Evaluation'!$A$56:$K$346,10,0)&amp;""</f>
        <v/>
      </c>
      <c r="K61" s="311" t="n">
        <f aca="false">IF($I61="Critical Importance",20,IF($I61="Minor Importance",5,10))</f>
        <v>10</v>
      </c>
      <c r="L61" s="283" t="n">
        <f aca="false">IF($E61="Not Scored", "N/A",IF(AND($D61='Auto Responses'!$J$27,$H61=""),"N/A",IF(AND($D61='Auto Responses'!$J$27,$H61='Auto Responses'!$J$7),1,IF(AND($D61='Auto Responses'!$J$27,$H61='Auto Responses'!$J$8),0,IF(OR($F61=$G61,$H61='Auto Responses'!$J$7),1,0)))))</f>
        <v>0</v>
      </c>
      <c r="M61" s="311" t="str">
        <f aca="false">VLOOKUP($A61,'Institution Evaluation'!$A$56:$K$346,10,0)&amp;""</f>
        <v/>
      </c>
      <c r="N61" s="311" t="n">
        <f aca="false">IF($J61="Critical Importance",1,IF(AND($J61="",$I61="Critical Importance"),1,0))</f>
        <v>0</v>
      </c>
      <c r="O61" s="283" t="str">
        <f aca="false">IF(OR($F$19="No",$E61="Not Scored"),"N/A",IF($J61="",$K61,IF($J61="Minor Importance",5,IF($J61="Standard Importance",10,IF($J61="Critical Importance",20,0)))))</f>
        <v>N/A</v>
      </c>
      <c r="P61" s="283" t="str">
        <f aca="false">IF(OR($O61="N/A",$L61="N/A"),"N/A",$O61*$L61)</f>
        <v>N/A</v>
      </c>
      <c r="Q61" s="283" t="n">
        <f aca="false">IF(M61="TRUE",1,0)</f>
        <v>0</v>
      </c>
      <c r="R61" s="283" t="n">
        <f aca="false">R60+Q61</f>
        <v>0</v>
      </c>
      <c r="S61" s="283" t="n">
        <f aca="false">IF(Q61=0,0,R61)</f>
        <v>0</v>
      </c>
      <c r="T61" s="283" t="n">
        <f aca="false">IF(N61=1,1,0)</f>
        <v>0</v>
      </c>
      <c r="U61" s="283" t="n">
        <f aca="false">U60+T61</f>
        <v>15</v>
      </c>
      <c r="V61" s="283" t="n">
        <f aca="false">IF(T61=0,0,U61)</f>
        <v>0</v>
      </c>
    </row>
    <row r="62" customFormat="false" ht="26.85" hidden="false" customHeight="false" outlineLevel="0" collapsed="false">
      <c r="A62" s="311" t="str">
        <f aca="false">Questions!$A62</f>
        <v>CONS-08</v>
      </c>
      <c r="B62" s="311" t="str">
        <f aca="false">LEFT(A62,4)</f>
        <v>CONS</v>
      </c>
      <c r="C62" s="311" t="str">
        <f aca="false">VLOOKUP($A62,Questions!$A$3:$L$333,2,0)&amp;""</f>
        <v>Will any data be transferred to the consultant's possession?</v>
      </c>
      <c r="D62" s="311" t="str">
        <f aca="false">VLOOKUP($A62,Questions!$A$3:$L$333,11,0)&amp;""</f>
        <v/>
      </c>
      <c r="E62" s="311" t="str">
        <f aca="false">VLOOKUP($A62,Questions!$A$3:$L$333,12,0)&amp;""</f>
        <v>Case-Specific</v>
      </c>
      <c r="F62" s="311" t="str">
        <f aca="false">VLOOKUP($A62,'Institution Evaluation'!$A$56:$K$346,3,0)&amp;""</f>
        <v/>
      </c>
      <c r="G62" s="311" t="str">
        <f aca="false">VLOOKUP($A62,'Institution Evaluation'!$A$56:$K$346,7,0)&amp;""</f>
        <v>No</v>
      </c>
      <c r="H62" s="311" t="str">
        <f aca="false">VLOOKUP($A62,'Institution Evaluation'!$A$56:$K$346,8,0)&amp;""</f>
        <v/>
      </c>
      <c r="I62" s="311" t="str">
        <f aca="false">VLOOKUP($A62,'Institution Evaluation'!$A$56:$K$346,9,0)&amp;""</f>
        <v>Standard Importance</v>
      </c>
      <c r="J62" s="311" t="str">
        <f aca="false">VLOOKUP($A62,'Institution Evaluation'!$A$56:$K$346,10,0)&amp;""</f>
        <v/>
      </c>
      <c r="K62" s="311" t="n">
        <f aca="false">IF($I62="Critical Importance",20,IF($I62="Minor Importance",5,10))</f>
        <v>10</v>
      </c>
      <c r="L62" s="283" t="n">
        <f aca="false">IF($E62="Not Scored", "N/A",IF(AND($D62='Auto Responses'!$J$27,$H62=""),"N/A",IF(AND($D62='Auto Responses'!$J$27,$H62='Auto Responses'!$J$7),1,IF(AND($D62='Auto Responses'!$J$27,$H62='Auto Responses'!$J$8),0,IF(OR($F62=$G62,$H62='Auto Responses'!$J$7),1,0)))))</f>
        <v>0</v>
      </c>
      <c r="M62" s="311" t="str">
        <f aca="false">VLOOKUP($A62,'Institution Evaluation'!$A$56:$K$346,10,0)&amp;""</f>
        <v/>
      </c>
      <c r="N62" s="311" t="n">
        <f aca="false">IF($J62="Critical Importance",1,IF(AND($J62="",$I62="Critical Importance"),1,0))</f>
        <v>0</v>
      </c>
      <c r="O62" s="283" t="str">
        <f aca="false">IF(OR($F$19="No",$E62="Not Scored"),"N/A",IF($J62="",$K62,IF($J62="Minor Importance",5,IF($J62="Standard Importance",10,IF($J62="Critical Importance",20,0)))))</f>
        <v>N/A</v>
      </c>
      <c r="P62" s="283" t="str">
        <f aca="false">IF(OR($O62="N/A",$L62="N/A"),"N/A",$O62*$L62)</f>
        <v>N/A</v>
      </c>
      <c r="Q62" s="283" t="n">
        <f aca="false">IF(M62="TRUE",1,0)</f>
        <v>0</v>
      </c>
      <c r="R62" s="283" t="n">
        <f aca="false">R61+Q62</f>
        <v>0</v>
      </c>
      <c r="S62" s="283" t="n">
        <f aca="false">IF(Q62=0,0,R62)</f>
        <v>0</v>
      </c>
      <c r="T62" s="283" t="n">
        <f aca="false">IF(N62=1,1,0)</f>
        <v>0</v>
      </c>
      <c r="U62" s="283" t="n">
        <f aca="false">U61+T62</f>
        <v>15</v>
      </c>
      <c r="V62" s="283" t="n">
        <f aca="false">IF(T62=0,0,U62)</f>
        <v>0</v>
      </c>
    </row>
    <row r="63" customFormat="false" ht="26.85" hidden="false" customHeight="false" outlineLevel="0" collapsed="false">
      <c r="A63" s="311" t="str">
        <f aca="false">Questions!$A63</f>
        <v>CONS-09</v>
      </c>
      <c r="B63" s="311" t="str">
        <f aca="false">LEFT(A63,4)</f>
        <v>CONS</v>
      </c>
      <c r="C63" s="311" t="str">
        <f aca="false">VLOOKUP($A63,Questions!$A$3:$L$333,2,0)&amp;""</f>
        <v>Will the consultant need remote access to the institution's network or systems?</v>
      </c>
      <c r="D63" s="311" t="str">
        <f aca="false">VLOOKUP($A63,Questions!$A$3:$L$333,11,0)&amp;""</f>
        <v/>
      </c>
      <c r="E63" s="311" t="str">
        <f aca="false">VLOOKUP($A63,Questions!$A$3:$L$333,12,0)&amp;""</f>
        <v>Case-Specific</v>
      </c>
      <c r="F63" s="311" t="str">
        <f aca="false">VLOOKUP($A63,'Institution Evaluation'!$A$56:$K$346,3,0)&amp;""</f>
        <v/>
      </c>
      <c r="G63" s="311" t="str">
        <f aca="false">VLOOKUP($A63,'Institution Evaluation'!$A$56:$K$346,7,0)&amp;""</f>
        <v>No</v>
      </c>
      <c r="H63" s="311" t="str">
        <f aca="false">VLOOKUP($A63,'Institution Evaluation'!$A$56:$K$346,8,0)&amp;""</f>
        <v/>
      </c>
      <c r="I63" s="311" t="str">
        <f aca="false">VLOOKUP($A63,'Institution Evaluation'!$A$56:$K$346,9,0)&amp;""</f>
        <v>Standard Importance</v>
      </c>
      <c r="J63" s="311" t="str">
        <f aca="false">VLOOKUP($A63,'Institution Evaluation'!$A$56:$K$346,10,0)&amp;""</f>
        <v/>
      </c>
      <c r="K63" s="311" t="n">
        <f aca="false">IF($I63="Critical Importance",20,IF($I63="Minor Importance",5,10))</f>
        <v>10</v>
      </c>
      <c r="L63" s="283" t="n">
        <f aca="false">IF($E63="Not Scored", "N/A",IF(AND($D63='Auto Responses'!$J$27,$H63=""),"N/A",IF(AND($D63='Auto Responses'!$J$27,$H63='Auto Responses'!$J$7),1,IF(AND($D63='Auto Responses'!$J$27,$H63='Auto Responses'!$J$8),0,IF(OR($F63=$G63,$H63='Auto Responses'!$J$7),1,0)))))</f>
        <v>0</v>
      </c>
      <c r="M63" s="311" t="str">
        <f aca="false">VLOOKUP($A63,'Institution Evaluation'!$A$56:$K$346,10,0)&amp;""</f>
        <v/>
      </c>
      <c r="N63" s="311" t="n">
        <f aca="false">IF($J63="Critical Importance",1,IF(AND($J63="",$I63="Critical Importance"),1,0))</f>
        <v>0</v>
      </c>
      <c r="O63" s="283" t="str">
        <f aca="false">IF(OR($F$19="No",$E63="Not Scored"),"N/A",IF($J63="",$K63,IF($J63="Minor Importance",5,IF($J63="Standard Importance",10,IF($J63="Critical Importance",20,0)))))</f>
        <v>N/A</v>
      </c>
      <c r="P63" s="283" t="str">
        <f aca="false">IF(OR($O63="N/A",$L63="N/A"),"N/A",$O63*$L63)</f>
        <v>N/A</v>
      </c>
      <c r="Q63" s="283" t="n">
        <f aca="false">IF(M63="TRUE",1,0)</f>
        <v>0</v>
      </c>
      <c r="R63" s="283" t="n">
        <f aca="false">R62+Q63</f>
        <v>0</v>
      </c>
      <c r="S63" s="283" t="n">
        <f aca="false">IF(Q63=0,0,R63)</f>
        <v>0</v>
      </c>
      <c r="T63" s="283" t="n">
        <f aca="false">IF(N63=1,1,0)</f>
        <v>0</v>
      </c>
      <c r="U63" s="283" t="n">
        <f aca="false">U62+T63</f>
        <v>15</v>
      </c>
      <c r="V63" s="283" t="n">
        <f aca="false">IF(T63=0,0,U63)</f>
        <v>0</v>
      </c>
    </row>
    <row r="64" customFormat="false" ht="64.9" hidden="false" customHeight="false" outlineLevel="0" collapsed="false">
      <c r="A64" s="311" t="str">
        <f aca="false">Questions!$A64</f>
        <v>APPL-01</v>
      </c>
      <c r="B64" s="311" t="str">
        <f aca="false">LEFT(A64,4)</f>
        <v>APPL</v>
      </c>
      <c r="C64" s="311" t="str">
        <f aca="false">VLOOKUP($A64,Questions!$A$3:$L$333,2,0)&amp;""</f>
        <v>Are access controls for institutional accounts based on structured rules, such as role-based access control (RBAC), attribute-based access control (ABAC), or policy-based access control (PBAC)?*</v>
      </c>
      <c r="D64" s="311" t="str">
        <f aca="false">VLOOKUP($A64,Questions!$A$3:$L$333,11,0)&amp;""</f>
        <v/>
      </c>
      <c r="E64" s="311" t="str">
        <f aca="false">VLOOKUP($A64,Questions!$A$3:$L$333,12,0)&amp;""</f>
        <v>Infrastructure</v>
      </c>
      <c r="F64" s="311" t="str">
        <f aca="false">VLOOKUP($A64,'Institution Evaluation'!$A$56:$K$346,3,0)&amp;""</f>
        <v/>
      </c>
      <c r="G64" s="311" t="str">
        <f aca="false">VLOOKUP($A64,'Institution Evaluation'!$A$56:$K$346,7,0)&amp;""</f>
        <v>Yes</v>
      </c>
      <c r="H64" s="311" t="str">
        <f aca="false">VLOOKUP($A64,'Institution Evaluation'!$A$56:$K$346,8,0)&amp;""</f>
        <v/>
      </c>
      <c r="I64" s="311" t="str">
        <f aca="false">VLOOKUP($A64,'Institution Evaluation'!$A$56:$K$346,9,0)&amp;""</f>
        <v>Critical Importance</v>
      </c>
      <c r="J64" s="311" t="str">
        <f aca="false">VLOOKUP($A64,'Institution Evaluation'!$A$56:$K$346,10,0)&amp;""</f>
        <v/>
      </c>
      <c r="K64" s="311" t="n">
        <f aca="false">IF($I64="Critical Importance",20,IF($I64="Minor Importance",5,10))</f>
        <v>20</v>
      </c>
      <c r="L64" s="283" t="n">
        <f aca="false">IF($E64="Not Scored", "N/A",IF(AND($D64='Auto Responses'!$J$27,$H64=""),"N/A",IF(AND($D64='Auto Responses'!$J$27,$H64='Auto Responses'!$J$7),1,IF(AND($D64='Auto Responses'!$J$27,$H64='Auto Responses'!$J$8),0,IF(OR($F64=$G64,$H64='Auto Responses'!$J$7),1,0)))))</f>
        <v>0</v>
      </c>
      <c r="M64" s="311" t="str">
        <f aca="false">VLOOKUP($A64,'Institution Evaluation'!$A$56:$K$346,10,0)&amp;""</f>
        <v/>
      </c>
      <c r="N64" s="311" t="n">
        <f aca="false">IF($J64="Critical Importance",1,IF(AND($J64="",$I64="Critical Importance"),1,0))</f>
        <v>1</v>
      </c>
      <c r="O64" s="283" t="str">
        <f aca="false">IF(OR($F$17="No",$E64="Not Scored"),"N/A",IF($J64="",$K64,IF($J64="Minor Importance",5,IF($J64="Standard Importance",10,IF($J64="Critical Importance",20,0)))))</f>
        <v>N/A</v>
      </c>
      <c r="P64" s="283" t="str">
        <f aca="false">IF(OR($O64="N/A",$L64="N/A"),"N/A",$O64*$L64)</f>
        <v>N/A</v>
      </c>
      <c r="Q64" s="283" t="n">
        <f aca="false">IF(M64="TRUE",1,0)</f>
        <v>0</v>
      </c>
      <c r="R64" s="283" t="n">
        <f aca="false">R63+Q64</f>
        <v>0</v>
      </c>
      <c r="S64" s="283" t="n">
        <f aca="false">IF(Q64=0,0,R64)</f>
        <v>0</v>
      </c>
      <c r="T64" s="283" t="n">
        <f aca="false">IF(N64=1,1,0)</f>
        <v>1</v>
      </c>
      <c r="U64" s="283" t="n">
        <f aca="false">U63+T64</f>
        <v>16</v>
      </c>
      <c r="V64" s="283" t="n">
        <f aca="false">IF(T64=0,0,U64)</f>
        <v>16</v>
      </c>
    </row>
    <row r="65" customFormat="false" ht="26.85" hidden="false" customHeight="false" outlineLevel="0" collapsed="false">
      <c r="A65" s="311" t="str">
        <f aca="false">Questions!$A65</f>
        <v>APPL-02</v>
      </c>
      <c r="B65" s="311" t="str">
        <f aca="false">LEFT(A65,4)</f>
        <v>APPL</v>
      </c>
      <c r="C65" s="311" t="str">
        <f aca="false">VLOOKUP($A65,Questions!$A$3:$L$333,2,0)&amp;""</f>
        <v>Are you using a web application firewall (WAF)?*</v>
      </c>
      <c r="D65" s="311" t="str">
        <f aca="false">VLOOKUP($A65,Questions!$A$3:$L$333,11,0)&amp;""</f>
        <v/>
      </c>
      <c r="E65" s="311" t="str">
        <f aca="false">VLOOKUP($A65,Questions!$A$3:$L$333,12,0)&amp;""</f>
        <v>Infrastructure</v>
      </c>
      <c r="F65" s="311" t="str">
        <f aca="false">VLOOKUP($A65,'Institution Evaluation'!$A$56:$K$346,3,0)&amp;""</f>
        <v/>
      </c>
      <c r="G65" s="311" t="str">
        <f aca="false">VLOOKUP($A65,'Institution Evaluation'!$A$56:$K$346,7,0)&amp;""</f>
        <v>Yes</v>
      </c>
      <c r="H65" s="311" t="str">
        <f aca="false">VLOOKUP($A65,'Institution Evaluation'!$A$56:$K$346,8,0)&amp;""</f>
        <v/>
      </c>
      <c r="I65" s="311" t="str">
        <f aca="false">VLOOKUP($A65,'Institution Evaluation'!$A$56:$K$346,9,0)&amp;""</f>
        <v>Critical Importance</v>
      </c>
      <c r="J65" s="311" t="str">
        <f aca="false">VLOOKUP($A65,'Institution Evaluation'!$A$56:$K$346,10,0)&amp;""</f>
        <v/>
      </c>
      <c r="K65" s="311" t="n">
        <f aca="false">IF($I65="Critical Importance",20,IF($I65="Minor Importance",5,10))</f>
        <v>20</v>
      </c>
      <c r="L65" s="283" t="n">
        <f aca="false">IF($E65="Not Scored", "N/A",IF(AND($D65='Auto Responses'!$J$27,$H65=""),"N/A",IF(AND($D65='Auto Responses'!$J$27,$H65='Auto Responses'!$J$7),1,IF(AND($D65='Auto Responses'!$J$27,$H65='Auto Responses'!$J$8),0,IF(OR($F65=$G65,$H65='Auto Responses'!$J$7),1,0)))))</f>
        <v>0</v>
      </c>
      <c r="M65" s="311" t="str">
        <f aca="false">VLOOKUP($A65,'Institution Evaluation'!$A$56:$K$346,10,0)&amp;""</f>
        <v/>
      </c>
      <c r="N65" s="311" t="n">
        <f aca="false">IF($J65="Critical Importance",1,IF(AND($J65="",$I65="Critical Importance"),1,0))</f>
        <v>1</v>
      </c>
      <c r="O65" s="283" t="str">
        <f aca="false">IF(OR($F$17="No",$E65="Not Scored"),"N/A",IF($J65="",$K65,IF($J65="Minor Importance",5,IF($J65="Standard Importance",10,IF($J65="Critical Importance",20,0)))))</f>
        <v>N/A</v>
      </c>
      <c r="P65" s="283" t="str">
        <f aca="false">IF(OR($O65="N/A",$L65="N/A"),"N/A",$O65*$L65)</f>
        <v>N/A</v>
      </c>
      <c r="Q65" s="283" t="n">
        <f aca="false">IF(M65="TRUE",1,0)</f>
        <v>0</v>
      </c>
      <c r="R65" s="283" t="n">
        <f aca="false">R64+Q65</f>
        <v>0</v>
      </c>
      <c r="S65" s="283" t="n">
        <f aca="false">IF(Q65=0,0,R65)</f>
        <v>0</v>
      </c>
      <c r="T65" s="283" t="n">
        <f aca="false">IF(N65=1,1,0)</f>
        <v>1</v>
      </c>
      <c r="U65" s="283" t="n">
        <f aca="false">U64+T65</f>
        <v>17</v>
      </c>
      <c r="V65" s="283" t="n">
        <f aca="false">IF(T65=0,0,U65)</f>
        <v>17</v>
      </c>
    </row>
    <row r="66" customFormat="false" ht="52.2" hidden="false" customHeight="false" outlineLevel="0" collapsed="false">
      <c r="A66" s="311" t="str">
        <f aca="false">Questions!$A66</f>
        <v>APPL-03</v>
      </c>
      <c r="B66" s="311" t="str">
        <f aca="false">LEFT(A66,4)</f>
        <v>APPL</v>
      </c>
      <c r="C66" s="311" t="str">
        <f aca="false">VLOOKUP($A66,Questions!$A$3:$L$333,2,0)&amp;""</f>
        <v>Are only currently supported operating system(s), software, and libraries leveraged by the system(s)/application(s) that will have access to institution's data?*</v>
      </c>
      <c r="D66" s="311" t="str">
        <f aca="false">VLOOKUP($A66,Questions!$A$3:$L$333,11,0)&amp;""</f>
        <v/>
      </c>
      <c r="E66" s="311" t="str">
        <f aca="false">VLOOKUP($A66,Questions!$A$3:$L$333,12,0)&amp;""</f>
        <v>Infrastructure</v>
      </c>
      <c r="F66" s="311" t="str">
        <f aca="false">VLOOKUP($A66,'Institution Evaluation'!$A$56:$K$346,3,0)&amp;""</f>
        <v/>
      </c>
      <c r="G66" s="311" t="str">
        <f aca="false">VLOOKUP($A66,'Institution Evaluation'!$A$56:$K$346,7,0)&amp;""</f>
        <v>Yes</v>
      </c>
      <c r="H66" s="311" t="str">
        <f aca="false">VLOOKUP($A66,'Institution Evaluation'!$A$56:$K$346,8,0)&amp;""</f>
        <v/>
      </c>
      <c r="I66" s="311" t="str">
        <f aca="false">VLOOKUP($A66,'Institution Evaluation'!$A$56:$K$346,9,0)&amp;""</f>
        <v>Critical Importance</v>
      </c>
      <c r="J66" s="311" t="str">
        <f aca="false">VLOOKUP($A66,'Institution Evaluation'!$A$56:$K$346,10,0)&amp;""</f>
        <v/>
      </c>
      <c r="K66" s="311" t="n">
        <f aca="false">IF($I66="Critical Importance",20,IF($I66="Minor Importance",5,10))</f>
        <v>20</v>
      </c>
      <c r="L66" s="283" t="n">
        <f aca="false">IF($E66="Not Scored", "N/A",IF(AND($D66='Auto Responses'!$J$27,$H66=""),"N/A",IF(AND($D66='Auto Responses'!$J$27,$H66='Auto Responses'!$J$7),1,IF(AND($D66='Auto Responses'!$J$27,$H66='Auto Responses'!$J$8),0,IF(OR($F66=$G66,$H66='Auto Responses'!$J$7),1,0)))))</f>
        <v>0</v>
      </c>
      <c r="M66" s="311" t="str">
        <f aca="false">VLOOKUP($A66,'Institution Evaluation'!$A$56:$K$346,10,0)&amp;""</f>
        <v/>
      </c>
      <c r="N66" s="311" t="n">
        <f aca="false">IF($J66="Critical Importance",1,IF(AND($J66="",$I66="Critical Importance"),1,0))</f>
        <v>1</v>
      </c>
      <c r="O66" s="283" t="str">
        <f aca="false">IF(OR($F$17="No",$E66="Not Scored"),"N/A",IF($J66="",$K66,IF($J66="Minor Importance",5,IF($J66="Standard Importance",10,IF($J66="Critical Importance",20,0)))))</f>
        <v>N/A</v>
      </c>
      <c r="P66" s="283" t="str">
        <f aca="false">IF(OR($O66="N/A",$L66="N/A"),"N/A",$O66*$L66)</f>
        <v>N/A</v>
      </c>
      <c r="Q66" s="283" t="n">
        <f aca="false">IF(M66="TRUE",1,0)</f>
        <v>0</v>
      </c>
      <c r="R66" s="283" t="n">
        <f aca="false">R65+Q66</f>
        <v>0</v>
      </c>
      <c r="S66" s="283" t="n">
        <f aca="false">IF(Q66=0,0,R66)</f>
        <v>0</v>
      </c>
      <c r="T66" s="283" t="n">
        <f aca="false">IF(N66=1,1,0)</f>
        <v>1</v>
      </c>
      <c r="U66" s="283" t="n">
        <f aca="false">U65+T66</f>
        <v>18</v>
      </c>
      <c r="V66" s="283" t="n">
        <f aca="false">IF(T66=0,0,U66)</f>
        <v>18</v>
      </c>
    </row>
    <row r="67" customFormat="false" ht="26.85" hidden="false" customHeight="false" outlineLevel="0" collapsed="false">
      <c r="A67" s="311" t="str">
        <f aca="false">Questions!$A67</f>
        <v>APPL-04</v>
      </c>
      <c r="B67" s="311" t="str">
        <f aca="false">LEFT(A67,4)</f>
        <v>APPL</v>
      </c>
      <c r="C67" s="311" t="str">
        <f aca="false">VLOOKUP($A67,Questions!$A$3:$L$333,2,0)&amp;""</f>
        <v>Does your application require access to location or GPS data?*</v>
      </c>
      <c r="D67" s="311" t="str">
        <f aca="false">VLOOKUP($A67,Questions!$A$3:$L$333,11,0)&amp;""</f>
        <v/>
      </c>
      <c r="E67" s="311" t="str">
        <f aca="false">VLOOKUP($A67,Questions!$A$3:$L$333,12,0)&amp;""</f>
        <v>Infrastructure</v>
      </c>
      <c r="F67" s="311" t="str">
        <f aca="false">VLOOKUP($A67,'Institution Evaluation'!$A$56:$K$346,3,0)&amp;""</f>
        <v/>
      </c>
      <c r="G67" s="311" t="str">
        <f aca="false">VLOOKUP($A67,'Institution Evaluation'!$A$56:$K$346,7,0)&amp;""</f>
        <v>No</v>
      </c>
      <c r="H67" s="311" t="str">
        <f aca="false">VLOOKUP($A67,'Institution Evaluation'!$A$56:$K$346,8,0)&amp;""</f>
        <v/>
      </c>
      <c r="I67" s="311" t="str">
        <f aca="false">VLOOKUP($A67,'Institution Evaluation'!$A$56:$K$346,9,0)&amp;""</f>
        <v>Critical Importance</v>
      </c>
      <c r="J67" s="311" t="str">
        <f aca="false">VLOOKUP($A67,'Institution Evaluation'!$A$56:$K$346,10,0)&amp;""</f>
        <v/>
      </c>
      <c r="K67" s="311" t="n">
        <f aca="false">IF($I67="Critical Importance",20,IF($I67="Minor Importance",5,10))</f>
        <v>20</v>
      </c>
      <c r="L67" s="283" t="n">
        <f aca="false">IF($E67="Not Scored", "N/A",IF(AND($D67='Auto Responses'!$J$27,$H67=""),"N/A",IF(AND($D67='Auto Responses'!$J$27,$H67='Auto Responses'!$J$7),1,IF(AND($D67='Auto Responses'!$J$27,$H67='Auto Responses'!$J$8),0,IF(OR($F67=$G67,$H67='Auto Responses'!$J$7),1,0)))))</f>
        <v>0</v>
      </c>
      <c r="M67" s="311" t="str">
        <f aca="false">VLOOKUP($A67,'Institution Evaluation'!$A$56:$K$346,10,0)&amp;""</f>
        <v/>
      </c>
      <c r="N67" s="311" t="n">
        <f aca="false">IF($J67="Critical Importance",1,IF(AND($J67="",$I67="Critical Importance"),1,0))</f>
        <v>1</v>
      </c>
      <c r="O67" s="283" t="str">
        <f aca="false">IF(OR($F$17="No",$E67="Not Scored"),"N/A",IF($J67="",$K67,IF($J67="Minor Importance",5,IF($J67="Standard Importance",10,IF($J67="Critical Importance",20,0)))))</f>
        <v>N/A</v>
      </c>
      <c r="P67" s="283" t="str">
        <f aca="false">IF(OR($O67="N/A",$L67="N/A"),"N/A",$O67*$L67)</f>
        <v>N/A</v>
      </c>
      <c r="Q67" s="283" t="n">
        <f aca="false">IF(M67="TRUE",1,0)</f>
        <v>0</v>
      </c>
      <c r="R67" s="283" t="n">
        <f aca="false">R66+Q67</f>
        <v>0</v>
      </c>
      <c r="S67" s="283" t="n">
        <f aca="false">IF(Q67=0,0,R67)</f>
        <v>0</v>
      </c>
      <c r="T67" s="283" t="n">
        <f aca="false">IF(N67=1,1,0)</f>
        <v>1</v>
      </c>
      <c r="U67" s="283" t="n">
        <f aca="false">U66+T67</f>
        <v>19</v>
      </c>
      <c r="V67" s="283" t="n">
        <f aca="false">IF(T67=0,0,U67)</f>
        <v>19</v>
      </c>
    </row>
    <row r="68" customFormat="false" ht="39.55" hidden="false" customHeight="false" outlineLevel="0" collapsed="false">
      <c r="A68" s="311" t="str">
        <f aca="false">Questions!$A68</f>
        <v>APPL-05</v>
      </c>
      <c r="B68" s="311" t="str">
        <f aca="false">LEFT(A68,4)</f>
        <v>APPL</v>
      </c>
      <c r="C68" s="311" t="str">
        <f aca="false">VLOOKUP($A68,Questions!$A$3:$L$333,2,0)&amp;""</f>
        <v>Does your application provide separation of duties between security administration, system administration, and standard user functions?*</v>
      </c>
      <c r="D68" s="311" t="str">
        <f aca="false">VLOOKUP($A68,Questions!$A$3:$L$333,11,0)&amp;""</f>
        <v/>
      </c>
      <c r="E68" s="311" t="str">
        <f aca="false">VLOOKUP($A68,Questions!$A$3:$L$333,12,0)&amp;""</f>
        <v>Infrastructure</v>
      </c>
      <c r="F68" s="311" t="str">
        <f aca="false">VLOOKUP($A68,'Institution Evaluation'!$A$56:$K$346,3,0)&amp;""</f>
        <v/>
      </c>
      <c r="G68" s="311" t="str">
        <f aca="false">VLOOKUP($A68,'Institution Evaluation'!$A$56:$K$346,7,0)&amp;""</f>
        <v>Yes</v>
      </c>
      <c r="H68" s="311" t="str">
        <f aca="false">VLOOKUP($A68,'Institution Evaluation'!$A$56:$K$346,8,0)&amp;""</f>
        <v/>
      </c>
      <c r="I68" s="311" t="str">
        <f aca="false">VLOOKUP($A68,'Institution Evaluation'!$A$56:$K$346,9,0)&amp;""</f>
        <v>Critical Importance</v>
      </c>
      <c r="J68" s="311" t="str">
        <f aca="false">VLOOKUP($A68,'Institution Evaluation'!$A$56:$K$346,10,0)&amp;""</f>
        <v/>
      </c>
      <c r="K68" s="311" t="n">
        <f aca="false">IF($I68="Critical Importance",20,IF($I68="Minor Importance",5,10))</f>
        <v>20</v>
      </c>
      <c r="L68" s="283" t="n">
        <f aca="false">IF($E68="Not Scored", "N/A",IF(AND($D68='Auto Responses'!$J$27,$H68=""),"N/A",IF(AND($D68='Auto Responses'!$J$27,$H68='Auto Responses'!$J$7),1,IF(AND($D68='Auto Responses'!$J$27,$H68='Auto Responses'!$J$8),0,IF(OR($F68=$G68,$H68='Auto Responses'!$J$7),1,0)))))</f>
        <v>0</v>
      </c>
      <c r="M68" s="311" t="str">
        <f aca="false">VLOOKUP($A68,'Institution Evaluation'!$A$56:$K$346,10,0)&amp;""</f>
        <v/>
      </c>
      <c r="N68" s="311" t="n">
        <f aca="false">IF($J68="Critical Importance",1,IF(AND($J68="",$I68="Critical Importance"),1,0))</f>
        <v>1</v>
      </c>
      <c r="O68" s="283" t="str">
        <f aca="false">IF(OR($F$17="No",$E68="Not Scored"),"N/A",IF($J68="",$K68,IF($J68="Minor Importance",5,IF($J68="Standard Importance",10,IF($J68="Critical Importance",20,0)))))</f>
        <v>N/A</v>
      </c>
      <c r="P68" s="283" t="str">
        <f aca="false">IF(OR($O68="N/A",$L68="N/A"),"N/A",$O68*$L68)</f>
        <v>N/A</v>
      </c>
      <c r="Q68" s="283" t="n">
        <f aca="false">IF(M68="TRUE",1,0)</f>
        <v>0</v>
      </c>
      <c r="R68" s="283" t="n">
        <f aca="false">R67+Q68</f>
        <v>0</v>
      </c>
      <c r="S68" s="283" t="n">
        <f aca="false">IF(Q68=0,0,R68)</f>
        <v>0</v>
      </c>
      <c r="T68" s="283" t="n">
        <f aca="false">IF(N68=1,1,0)</f>
        <v>1</v>
      </c>
      <c r="U68" s="283" t="n">
        <f aca="false">U67+T68</f>
        <v>20</v>
      </c>
      <c r="V68" s="283" t="n">
        <f aca="false">IF(T68=0,0,U68)</f>
        <v>20</v>
      </c>
    </row>
    <row r="69" customFormat="false" ht="39.55" hidden="false" customHeight="false" outlineLevel="0" collapsed="false">
      <c r="A69" s="311" t="str">
        <f aca="false">Questions!$A69</f>
        <v>APPL-06</v>
      </c>
      <c r="B69" s="311" t="str">
        <f aca="false">LEFT(A69,4)</f>
        <v>APPL</v>
      </c>
      <c r="C69" s="311" t="str">
        <f aca="false">VLOOKUP($A69,Questions!$A$3:$L$333,2,0)&amp;""</f>
        <v>Do you subject your code to static code analysis and/or static application security testing prior to release?*</v>
      </c>
      <c r="D69" s="311" t="str">
        <f aca="false">VLOOKUP($A69,Questions!$A$3:$L$333,11,0)&amp;""</f>
        <v/>
      </c>
      <c r="E69" s="311" t="str">
        <f aca="false">VLOOKUP($A69,Questions!$A$3:$L$333,12,0)&amp;""</f>
        <v>Infrastructure</v>
      </c>
      <c r="F69" s="311" t="str">
        <f aca="false">VLOOKUP($A69,'Institution Evaluation'!$A$56:$K$346,3,0)&amp;""</f>
        <v/>
      </c>
      <c r="G69" s="311" t="str">
        <f aca="false">VLOOKUP($A69,'Institution Evaluation'!$A$56:$K$346,7,0)&amp;""</f>
        <v>Yes</v>
      </c>
      <c r="H69" s="311" t="str">
        <f aca="false">VLOOKUP($A69,'Institution Evaluation'!$A$56:$K$346,8,0)&amp;""</f>
        <v/>
      </c>
      <c r="I69" s="311" t="str">
        <f aca="false">VLOOKUP($A69,'Institution Evaluation'!$A$56:$K$346,9,0)&amp;""</f>
        <v>Critical Importance</v>
      </c>
      <c r="J69" s="311" t="str">
        <f aca="false">VLOOKUP($A69,'Institution Evaluation'!$A$56:$K$346,10,0)&amp;""</f>
        <v/>
      </c>
      <c r="K69" s="311" t="n">
        <f aca="false">IF($I69="Critical Importance",20,IF($I69="Minor Importance",5,10))</f>
        <v>20</v>
      </c>
      <c r="L69" s="283" t="n">
        <f aca="false">IF($E69="Not Scored", "N/A",IF(AND($D69='Auto Responses'!$J$27,$H69=""),"N/A",IF(AND($D69='Auto Responses'!$J$27,$H69='Auto Responses'!$J$7),1,IF(AND($D69='Auto Responses'!$J$27,$H69='Auto Responses'!$J$8),0,IF(OR($F69=$G69,$H69='Auto Responses'!$J$7),1,0)))))</f>
        <v>0</v>
      </c>
      <c r="M69" s="311" t="str">
        <f aca="false">VLOOKUP($A69,'Institution Evaluation'!$A$56:$K$346,10,0)&amp;""</f>
        <v/>
      </c>
      <c r="N69" s="311" t="n">
        <f aca="false">IF($J69="Critical Importance",1,IF(AND($J69="",$I69="Critical Importance"),1,0))</f>
        <v>1</v>
      </c>
      <c r="O69" s="283" t="str">
        <f aca="false">IF(OR($F$17="No",$E69="Not Scored"),"N/A",IF($J69="",$K69,IF($J69="Minor Importance",5,IF($J69="Standard Importance",10,IF($J69="Critical Importance",20,0)))))</f>
        <v>N/A</v>
      </c>
      <c r="P69" s="283" t="str">
        <f aca="false">IF(OR($O69="N/A",$L69="N/A"),"N/A",$O69*$L69)</f>
        <v>N/A</v>
      </c>
      <c r="Q69" s="283" t="n">
        <f aca="false">IF(M69="TRUE",1,0)</f>
        <v>0</v>
      </c>
      <c r="R69" s="283" t="n">
        <f aca="false">R68+Q69</f>
        <v>0</v>
      </c>
      <c r="S69" s="283" t="n">
        <f aca="false">IF(Q69=0,0,R69)</f>
        <v>0</v>
      </c>
      <c r="T69" s="283" t="n">
        <f aca="false">IF(N69=1,1,0)</f>
        <v>1</v>
      </c>
      <c r="U69" s="283" t="n">
        <f aca="false">U68+T69</f>
        <v>21</v>
      </c>
      <c r="V69" s="283" t="n">
        <f aca="false">IF(T69=0,0,U69)</f>
        <v>21</v>
      </c>
    </row>
    <row r="70" customFormat="false" ht="39.55" hidden="false" customHeight="false" outlineLevel="0" collapsed="false">
      <c r="A70" s="311" t="str">
        <f aca="false">Questions!$A70</f>
        <v>APPL-07</v>
      </c>
      <c r="B70" s="311" t="str">
        <f aca="false">LEFT(A70,4)</f>
        <v>APPL</v>
      </c>
      <c r="C70" s="311" t="str">
        <f aca="false">VLOOKUP($A70,Questions!$A$3:$L$333,2,0)&amp;""</f>
        <v>Do you have software testing processes (dynamic or static) that are established and followed?*</v>
      </c>
      <c r="D70" s="311" t="str">
        <f aca="false">VLOOKUP($A70,Questions!$A$3:$L$333,11,0)&amp;""</f>
        <v/>
      </c>
      <c r="E70" s="311" t="str">
        <f aca="false">VLOOKUP($A70,Questions!$A$3:$L$333,12,0)&amp;""</f>
        <v>Infrastructure</v>
      </c>
      <c r="F70" s="311" t="str">
        <f aca="false">VLOOKUP($A70,'Institution Evaluation'!$A$56:$K$346,3,0)&amp;""</f>
        <v/>
      </c>
      <c r="G70" s="311" t="str">
        <f aca="false">VLOOKUP($A70,'Institution Evaluation'!$A$56:$K$346,7,0)&amp;""</f>
        <v>Yes</v>
      </c>
      <c r="H70" s="311" t="str">
        <f aca="false">VLOOKUP($A70,'Institution Evaluation'!$A$56:$K$346,8,0)&amp;""</f>
        <v/>
      </c>
      <c r="I70" s="311" t="str">
        <f aca="false">VLOOKUP($A70,'Institution Evaluation'!$A$56:$K$346,9,0)&amp;""</f>
        <v>Critical Importance</v>
      </c>
      <c r="J70" s="311" t="str">
        <f aca="false">VLOOKUP($A70,'Institution Evaluation'!$A$56:$K$346,10,0)&amp;""</f>
        <v/>
      </c>
      <c r="K70" s="311" t="n">
        <f aca="false">IF($I70="Critical Importance",20,IF($I70="Minor Importance",5,10))</f>
        <v>20</v>
      </c>
      <c r="L70" s="283" t="n">
        <f aca="false">IF($E70="Not Scored", "N/A",IF(AND($D70='Auto Responses'!$J$27,$H70=""),"N/A",IF(AND($D70='Auto Responses'!$J$27,$H70='Auto Responses'!$J$7),1,IF(AND($D70='Auto Responses'!$J$27,$H70='Auto Responses'!$J$8),0,IF(OR($F70=$G70,$H70='Auto Responses'!$J$7),1,0)))))</f>
        <v>0</v>
      </c>
      <c r="M70" s="311" t="str">
        <f aca="false">VLOOKUP($A70,'Institution Evaluation'!$A$56:$K$346,10,0)&amp;""</f>
        <v/>
      </c>
      <c r="N70" s="311" t="n">
        <f aca="false">IF($J70="Critical Importance",1,IF(AND($J70="",$I70="Critical Importance"),1,0))</f>
        <v>1</v>
      </c>
      <c r="O70" s="283" t="str">
        <f aca="false">IF(OR($F$17="No",$E70="Not Scored"),"N/A",IF($J70="",$K70,IF($J70="Minor Importance",5,IF($J70="Standard Importance",10,IF($J70="Critical Importance",20,0)))))</f>
        <v>N/A</v>
      </c>
      <c r="P70" s="283" t="str">
        <f aca="false">IF(OR($O70="N/A",$L70="N/A"),"N/A",$O70*$L70)</f>
        <v>N/A</v>
      </c>
      <c r="Q70" s="283" t="n">
        <f aca="false">IF(M70="TRUE",1,0)</f>
        <v>0</v>
      </c>
      <c r="R70" s="283" t="n">
        <f aca="false">R69+Q70</f>
        <v>0</v>
      </c>
      <c r="S70" s="283" t="n">
        <f aca="false">IF(Q70=0,0,R70)</f>
        <v>0</v>
      </c>
      <c r="T70" s="283" t="n">
        <f aca="false">IF(N70=1,1,0)</f>
        <v>1</v>
      </c>
      <c r="U70" s="283" t="n">
        <f aca="false">U69+T70</f>
        <v>22</v>
      </c>
      <c r="V70" s="283" t="n">
        <f aca="false">IF(T70=0,0,U70)</f>
        <v>22</v>
      </c>
    </row>
    <row r="71" customFormat="false" ht="39.55" hidden="false" customHeight="false" outlineLevel="0" collapsed="false">
      <c r="A71" s="311" t="str">
        <f aca="false">Questions!$A71</f>
        <v>APPL-08</v>
      </c>
      <c r="B71" s="311" t="str">
        <f aca="false">LEFT(A71,4)</f>
        <v>APPL</v>
      </c>
      <c r="C71" s="311" t="str">
        <f aca="false">VLOOKUP($A71,Questions!$A$3:$L$333,2,0)&amp;""</f>
        <v>Are access controls for staff within your organization based on structured rules, such as RBAC, ABAC, or PBAC?</v>
      </c>
      <c r="D71" s="311" t="str">
        <f aca="false">VLOOKUP($A71,Questions!$A$3:$L$333,11,0)&amp;""</f>
        <v/>
      </c>
      <c r="E71" s="311" t="str">
        <f aca="false">VLOOKUP($A71,Questions!$A$3:$L$333,12,0)&amp;""</f>
        <v>Infrastructure</v>
      </c>
      <c r="F71" s="311" t="str">
        <f aca="false">VLOOKUP($A71,'Institution Evaluation'!$A$56:$K$346,3,0)&amp;""</f>
        <v/>
      </c>
      <c r="G71" s="311" t="str">
        <f aca="false">VLOOKUP($A71,'Institution Evaluation'!$A$56:$K$346,7,0)&amp;""</f>
        <v>Yes</v>
      </c>
      <c r="H71" s="311" t="str">
        <f aca="false">VLOOKUP($A71,'Institution Evaluation'!$A$56:$K$346,8,0)&amp;""</f>
        <v/>
      </c>
      <c r="I71" s="311" t="str">
        <f aca="false">VLOOKUP($A71,'Institution Evaluation'!$A$56:$K$346,9,0)&amp;""</f>
        <v>Standard Importance</v>
      </c>
      <c r="J71" s="311" t="str">
        <f aca="false">VLOOKUP($A71,'Institution Evaluation'!$A$56:$K$346,10,0)&amp;""</f>
        <v/>
      </c>
      <c r="K71" s="311" t="n">
        <f aca="false">IF($I71="Critical Importance",20,IF($I71="Minor Importance",5,10))</f>
        <v>10</v>
      </c>
      <c r="L71" s="283" t="n">
        <f aca="false">IF($E71="Not Scored", "N/A",IF(AND($D71='Auto Responses'!$J$27,$H71=""),"N/A",IF(AND($D71='Auto Responses'!$J$27,$H71='Auto Responses'!$J$7),1,IF(AND($D71='Auto Responses'!$J$27,$H71='Auto Responses'!$J$8),0,IF(OR($F71=$G71,$H71='Auto Responses'!$J$7),1,0)))))</f>
        <v>0</v>
      </c>
      <c r="M71" s="311" t="str">
        <f aca="false">VLOOKUP($A71,'Institution Evaluation'!$A$56:$K$346,10,0)&amp;""</f>
        <v/>
      </c>
      <c r="N71" s="311" t="n">
        <f aca="false">IF($J71="Critical Importance",1,IF(AND($J71="",$I71="Critical Importance"),1,0))</f>
        <v>0</v>
      </c>
      <c r="O71" s="283" t="str">
        <f aca="false">IF(OR($F$17="No",$E71="Not Scored"),"N/A",IF($J71="",$K71,IF($J71="Minor Importance",5,IF($J71="Standard Importance",10,IF($J71="Critical Importance",20,0)))))</f>
        <v>N/A</v>
      </c>
      <c r="P71" s="283" t="str">
        <f aca="false">IF(OR($O71="N/A",$L71="N/A"),"N/A",$O71*$L71)</f>
        <v>N/A</v>
      </c>
      <c r="Q71" s="283" t="n">
        <f aca="false">IF(M71="TRUE",1,0)</f>
        <v>0</v>
      </c>
      <c r="R71" s="283" t="n">
        <f aca="false">R70+Q71</f>
        <v>0</v>
      </c>
      <c r="S71" s="283" t="n">
        <f aca="false">IF(Q71=0,0,R71)</f>
        <v>0</v>
      </c>
      <c r="T71" s="283" t="n">
        <f aca="false">IF(N71=1,1,0)</f>
        <v>0</v>
      </c>
      <c r="U71" s="283" t="n">
        <f aca="false">U70+T71</f>
        <v>22</v>
      </c>
      <c r="V71" s="283" t="n">
        <f aca="false">IF(T71=0,0,U71)</f>
        <v>0</v>
      </c>
    </row>
    <row r="72" customFormat="false" ht="26.85" hidden="false" customHeight="false" outlineLevel="0" collapsed="false">
      <c r="A72" s="311" t="str">
        <f aca="false">Questions!$A72</f>
        <v>APPL-09</v>
      </c>
      <c r="B72" s="311" t="str">
        <f aca="false">LEFT(A72,4)</f>
        <v>APPL</v>
      </c>
      <c r="C72" s="311" t="str">
        <f aca="false">VLOOKUP($A72,Questions!$A$3:$L$333,2,0)&amp;""</f>
        <v>Does the system provide data input validation and error messages?</v>
      </c>
      <c r="D72" s="311" t="str">
        <f aca="false">VLOOKUP($A72,Questions!$A$3:$L$333,11,0)&amp;""</f>
        <v/>
      </c>
      <c r="E72" s="311" t="str">
        <f aca="false">VLOOKUP($A72,Questions!$A$3:$L$333,12,0)&amp;""</f>
        <v>Infrastructure</v>
      </c>
      <c r="F72" s="311" t="str">
        <f aca="false">VLOOKUP($A72,'Institution Evaluation'!$A$56:$K$346,3,0)&amp;""</f>
        <v/>
      </c>
      <c r="G72" s="311" t="str">
        <f aca="false">VLOOKUP($A72,'Institution Evaluation'!$A$56:$K$346,7,0)&amp;""</f>
        <v>Yes</v>
      </c>
      <c r="H72" s="311" t="str">
        <f aca="false">VLOOKUP($A72,'Institution Evaluation'!$A$56:$K$346,8,0)&amp;""</f>
        <v/>
      </c>
      <c r="I72" s="311" t="str">
        <f aca="false">VLOOKUP($A72,'Institution Evaluation'!$A$56:$K$346,9,0)&amp;""</f>
        <v>Standard Importance</v>
      </c>
      <c r="J72" s="311" t="str">
        <f aca="false">VLOOKUP($A72,'Institution Evaluation'!$A$56:$K$346,10,0)&amp;""</f>
        <v/>
      </c>
      <c r="K72" s="311" t="n">
        <f aca="false">IF($I72="Critical Importance",20,IF($I72="Minor Importance",5,10))</f>
        <v>10</v>
      </c>
      <c r="L72" s="283" t="n">
        <f aca="false">IF($E72="Not Scored", "N/A",IF(AND($D72='Auto Responses'!$J$27,$H72=""),"N/A",IF(AND($D72='Auto Responses'!$J$27,$H72='Auto Responses'!$J$7),1,IF(AND($D72='Auto Responses'!$J$27,$H72='Auto Responses'!$J$8),0,IF(OR($F72=$G72,$H72='Auto Responses'!$J$7),1,0)))))</f>
        <v>0</v>
      </c>
      <c r="M72" s="311" t="str">
        <f aca="false">VLOOKUP($A72,'Institution Evaluation'!$A$56:$K$346,10,0)&amp;""</f>
        <v/>
      </c>
      <c r="N72" s="311" t="n">
        <f aca="false">IF($J72="Critical Importance",1,IF(AND($J72="",$I72="Critical Importance"),1,0))</f>
        <v>0</v>
      </c>
      <c r="O72" s="283" t="str">
        <f aca="false">IF(OR($F$17="No",$E72="Not Scored"),"N/A",IF($J72="",$K72,IF($J72="Minor Importance",5,IF($J72="Standard Importance",10,IF($J72="Critical Importance",20,0)))))</f>
        <v>N/A</v>
      </c>
      <c r="P72" s="283" t="str">
        <f aca="false">IF(OR($O72="N/A",$L72="N/A"),"N/A",$O72*$L72)</f>
        <v>N/A</v>
      </c>
      <c r="Q72" s="283" t="n">
        <f aca="false">IF(M72="TRUE",1,0)</f>
        <v>0</v>
      </c>
      <c r="R72" s="283" t="n">
        <f aca="false">R71+Q72</f>
        <v>0</v>
      </c>
      <c r="S72" s="283" t="n">
        <f aca="false">IF(Q72=0,0,R72)</f>
        <v>0</v>
      </c>
      <c r="T72" s="283" t="n">
        <f aca="false">IF(N72=1,1,0)</f>
        <v>0</v>
      </c>
      <c r="U72" s="283" t="n">
        <f aca="false">U71+T72</f>
        <v>22</v>
      </c>
      <c r="V72" s="283" t="n">
        <f aca="false">IF(T72=0,0,U72)</f>
        <v>0</v>
      </c>
    </row>
    <row r="73" customFormat="false" ht="52.2" hidden="false" customHeight="false" outlineLevel="0" collapsed="false">
      <c r="A73" s="311" t="str">
        <f aca="false">Questions!$A73</f>
        <v>APPL-10</v>
      </c>
      <c r="B73" s="311" t="str">
        <f aca="false">LEFT(A73,4)</f>
        <v>APPL</v>
      </c>
      <c r="C73" s="311" t="str">
        <f aca="false">VLOOKUP($A73,Questions!$A$3:$L$333,2,0)&amp;""</f>
        <v>Do you have a process and implemented procedures for managing your software supply chain (e.g., libraries, repositories, frameworks, etc.)</v>
      </c>
      <c r="D73" s="311" t="str">
        <f aca="false">VLOOKUP($A73,Questions!$A$3:$L$333,11,0)&amp;""</f>
        <v/>
      </c>
      <c r="E73" s="311" t="str">
        <f aca="false">VLOOKUP($A73,Questions!$A$3:$L$333,12,0)&amp;""</f>
        <v>Infrastructure</v>
      </c>
      <c r="F73" s="311" t="str">
        <f aca="false">VLOOKUP($A73,'Institution Evaluation'!$A$56:$K$346,3,0)&amp;""</f>
        <v/>
      </c>
      <c r="G73" s="311" t="str">
        <f aca="false">VLOOKUP($A73,'Institution Evaluation'!$A$56:$K$346,7,0)&amp;""</f>
        <v>Yes</v>
      </c>
      <c r="H73" s="311" t="str">
        <f aca="false">VLOOKUP($A73,'Institution Evaluation'!$A$56:$K$346,8,0)&amp;""</f>
        <v/>
      </c>
      <c r="I73" s="311" t="str">
        <f aca="false">VLOOKUP($A73,'Institution Evaluation'!$A$56:$K$346,9,0)&amp;""</f>
        <v>Standard Importance</v>
      </c>
      <c r="J73" s="311" t="str">
        <f aca="false">VLOOKUP($A73,'Institution Evaluation'!$A$56:$K$346,10,0)&amp;""</f>
        <v/>
      </c>
      <c r="K73" s="311" t="n">
        <f aca="false">IF($I73="Critical Importance",20,IF($I73="Minor Importance",5,10))</f>
        <v>10</v>
      </c>
      <c r="L73" s="283" t="n">
        <f aca="false">IF($E73="Not Scored", "N/A",IF(AND($D73='Auto Responses'!$J$27,$H73=""),"N/A",IF(AND($D73='Auto Responses'!$J$27,$H73='Auto Responses'!$J$7),1,IF(AND($D73='Auto Responses'!$J$27,$H73='Auto Responses'!$J$8),0,IF(OR($F73=$G73,$H73='Auto Responses'!$J$7),1,0)))))</f>
        <v>0</v>
      </c>
      <c r="M73" s="311" t="str">
        <f aca="false">VLOOKUP($A73,'Institution Evaluation'!$A$56:$K$346,10,0)&amp;""</f>
        <v/>
      </c>
      <c r="N73" s="311" t="n">
        <f aca="false">IF($J73="Critical Importance",1,IF(AND($J73="",$I73="Critical Importance"),1,0))</f>
        <v>0</v>
      </c>
      <c r="O73" s="283" t="str">
        <f aca="false">IF(OR($F$17="No",$E73="Not Scored"),"N/A",IF($J73="",$K73,IF($J73="Minor Importance",5,IF($J73="Standard Importance",10,IF($J73="Critical Importance",20,0)))))</f>
        <v>N/A</v>
      </c>
      <c r="P73" s="283" t="str">
        <f aca="false">IF(OR($O73="N/A",$L73="N/A"),"N/A",$O73*$L73)</f>
        <v>N/A</v>
      </c>
      <c r="Q73" s="283" t="n">
        <f aca="false">IF(M73="TRUE",1,0)</f>
        <v>0</v>
      </c>
      <c r="R73" s="283" t="n">
        <f aca="false">R72+Q73</f>
        <v>0</v>
      </c>
      <c r="S73" s="283" t="n">
        <f aca="false">IF(Q73=0,0,R73)</f>
        <v>0</v>
      </c>
      <c r="T73" s="283" t="n">
        <f aca="false">IF(N73=1,1,0)</f>
        <v>0</v>
      </c>
      <c r="U73" s="283" t="n">
        <f aca="false">U72+T73</f>
        <v>22</v>
      </c>
      <c r="V73" s="283" t="n">
        <f aca="false">IF(T73=0,0,U73)</f>
        <v>0</v>
      </c>
    </row>
    <row r="74" customFormat="false" ht="26.85" hidden="false" customHeight="false" outlineLevel="0" collapsed="false">
      <c r="A74" s="311" t="str">
        <f aca="false">Questions!$A74</f>
        <v>APPL-11</v>
      </c>
      <c r="B74" s="311" t="str">
        <f aca="false">LEFT(A74,4)</f>
        <v>APPL</v>
      </c>
      <c r="C74" s="311" t="str">
        <f aca="false">VLOOKUP($A74,Questions!$A$3:$L$333,2,0)&amp;""</f>
        <v>Have your developers been trained in secure coding techniques?</v>
      </c>
      <c r="D74" s="311" t="str">
        <f aca="false">VLOOKUP($A74,Questions!$A$3:$L$333,11,0)&amp;""</f>
        <v/>
      </c>
      <c r="E74" s="311" t="str">
        <f aca="false">VLOOKUP($A74,Questions!$A$3:$L$333,12,0)&amp;""</f>
        <v>Infrastructure</v>
      </c>
      <c r="F74" s="311" t="str">
        <f aca="false">VLOOKUP($A74,'Institution Evaluation'!$A$56:$K$346,3,0)&amp;""</f>
        <v/>
      </c>
      <c r="G74" s="311" t="str">
        <f aca="false">VLOOKUP($A74,'Institution Evaluation'!$A$56:$K$346,7,0)&amp;""</f>
        <v>Yes</v>
      </c>
      <c r="H74" s="311" t="str">
        <f aca="false">VLOOKUP($A74,'Institution Evaluation'!$A$56:$K$346,8,0)&amp;""</f>
        <v/>
      </c>
      <c r="I74" s="311" t="str">
        <f aca="false">VLOOKUP($A74,'Institution Evaluation'!$A$56:$K$346,9,0)&amp;""</f>
        <v>Standard Importance</v>
      </c>
      <c r="J74" s="311" t="str">
        <f aca="false">VLOOKUP($A74,'Institution Evaluation'!$A$56:$K$346,10,0)&amp;""</f>
        <v/>
      </c>
      <c r="K74" s="311" t="n">
        <f aca="false">IF($I74="Critical Importance",20,IF($I74="Minor Importance",5,10))</f>
        <v>10</v>
      </c>
      <c r="L74" s="283" t="n">
        <f aca="false">IF($E74="Not Scored", "N/A",IF(AND($D74='Auto Responses'!$J$27,$H74=""),"N/A",IF(AND($D74='Auto Responses'!$J$27,$H74='Auto Responses'!$J$7),1,IF(AND($D74='Auto Responses'!$J$27,$H74='Auto Responses'!$J$8),0,IF(OR($F74=$G74,$H74='Auto Responses'!$J$7),1,0)))))</f>
        <v>0</v>
      </c>
      <c r="M74" s="311" t="str">
        <f aca="false">VLOOKUP($A74,'Institution Evaluation'!$A$56:$K$346,10,0)&amp;""</f>
        <v/>
      </c>
      <c r="N74" s="311" t="n">
        <f aca="false">IF($J74="Critical Importance",1,IF(AND($J74="",$I74="Critical Importance"),1,0))</f>
        <v>0</v>
      </c>
      <c r="O74" s="283" t="str">
        <f aca="false">IF(OR($F$17="No",$E74="Not Scored"),"N/A",IF($J74="",$K74,IF($J74="Minor Importance",5,IF($J74="Standard Importance",10,IF($J74="Critical Importance",20,0)))))</f>
        <v>N/A</v>
      </c>
      <c r="P74" s="283" t="str">
        <f aca="false">IF(OR($O74="N/A",$L74="N/A"),"N/A",$O74*$L74)</f>
        <v>N/A</v>
      </c>
      <c r="Q74" s="283" t="n">
        <f aca="false">IF(M74="TRUE",1,0)</f>
        <v>0</v>
      </c>
      <c r="R74" s="283" t="n">
        <f aca="false">R73+Q74</f>
        <v>0</v>
      </c>
      <c r="S74" s="283" t="n">
        <f aca="false">IF(Q74=0,0,R74)</f>
        <v>0</v>
      </c>
      <c r="T74" s="283" t="n">
        <f aca="false">IF(N74=1,1,0)</f>
        <v>0</v>
      </c>
      <c r="U74" s="283" t="n">
        <f aca="false">U73+T74</f>
        <v>22</v>
      </c>
      <c r="V74" s="283" t="n">
        <f aca="false">IF(T74=0,0,U74)</f>
        <v>0</v>
      </c>
    </row>
    <row r="75" customFormat="false" ht="26.85" hidden="false" customHeight="false" outlineLevel="0" collapsed="false">
      <c r="A75" s="311" t="str">
        <f aca="false">Questions!$A75</f>
        <v>APPL-12</v>
      </c>
      <c r="B75" s="311" t="str">
        <f aca="false">LEFT(A75,4)</f>
        <v>APPL</v>
      </c>
      <c r="C75" s="311" t="str">
        <f aca="false">VLOOKUP($A75,Questions!$A$3:$L$333,2,0)&amp;""</f>
        <v>Was your application developed using secure coding techniques?</v>
      </c>
      <c r="D75" s="311" t="str">
        <f aca="false">VLOOKUP($A75,Questions!$A$3:$L$333,11,0)&amp;""</f>
        <v/>
      </c>
      <c r="E75" s="311" t="str">
        <f aca="false">VLOOKUP($A75,Questions!$A$3:$L$333,12,0)&amp;""</f>
        <v>Infrastructure</v>
      </c>
      <c r="F75" s="311" t="str">
        <f aca="false">VLOOKUP($A75,'Institution Evaluation'!$A$56:$K$346,3,0)&amp;""</f>
        <v/>
      </c>
      <c r="G75" s="311" t="str">
        <f aca="false">VLOOKUP($A75,'Institution Evaluation'!$A$56:$K$346,7,0)&amp;""</f>
        <v>Yes</v>
      </c>
      <c r="H75" s="311" t="str">
        <f aca="false">VLOOKUP($A75,'Institution Evaluation'!$A$56:$K$346,8,0)&amp;""</f>
        <v/>
      </c>
      <c r="I75" s="311" t="str">
        <f aca="false">VLOOKUP($A75,'Institution Evaluation'!$A$56:$K$346,9,0)&amp;""</f>
        <v>Standard Importance</v>
      </c>
      <c r="J75" s="311" t="str">
        <f aca="false">VLOOKUP($A75,'Institution Evaluation'!$A$56:$K$346,10,0)&amp;""</f>
        <v/>
      </c>
      <c r="K75" s="311" t="n">
        <f aca="false">IF($I75="Critical Importance",20,IF($I75="Minor Importance",5,10))</f>
        <v>10</v>
      </c>
      <c r="L75" s="283" t="n">
        <f aca="false">IF($E75="Not Scored", "N/A",IF(AND($D75='Auto Responses'!$J$27,$H75=""),"N/A",IF(AND($D75='Auto Responses'!$J$27,$H75='Auto Responses'!$J$7),1,IF(AND($D75='Auto Responses'!$J$27,$H75='Auto Responses'!$J$8),0,IF(OR($F75=$G75,$H75='Auto Responses'!$J$7),1,0)))))</f>
        <v>0</v>
      </c>
      <c r="M75" s="311" t="str">
        <f aca="false">VLOOKUP($A75,'Institution Evaluation'!$A$56:$K$346,10,0)&amp;""</f>
        <v/>
      </c>
      <c r="N75" s="311" t="n">
        <f aca="false">IF($J75="Critical Importance",1,IF(AND($J75="",$I75="Critical Importance"),1,0))</f>
        <v>0</v>
      </c>
      <c r="O75" s="283" t="str">
        <f aca="false">IF(OR($F$17="No",$E75="Not Scored"),"N/A",IF($J75="",$K75,IF($J75="Minor Importance",5,IF($J75="Standard Importance",10,IF($J75="Critical Importance",20,0)))))</f>
        <v>N/A</v>
      </c>
      <c r="P75" s="283" t="str">
        <f aca="false">IF(OR($O75="N/A",$L75="N/A"),"N/A",$O75*$L75)</f>
        <v>N/A</v>
      </c>
      <c r="Q75" s="283" t="n">
        <f aca="false">IF(M75="TRUE",1,0)</f>
        <v>0</v>
      </c>
      <c r="R75" s="283" t="n">
        <f aca="false">R74+Q75</f>
        <v>0</v>
      </c>
      <c r="S75" s="283" t="n">
        <f aca="false">IF(Q75=0,0,R75)</f>
        <v>0</v>
      </c>
      <c r="T75" s="283" t="n">
        <f aca="false">IF(N75=1,1,0)</f>
        <v>0</v>
      </c>
      <c r="U75" s="283" t="n">
        <f aca="false">U74+T75</f>
        <v>22</v>
      </c>
      <c r="V75" s="283" t="n">
        <f aca="false">IF(T75=0,0,U75)</f>
        <v>0</v>
      </c>
    </row>
    <row r="76" customFormat="false" ht="39.55" hidden="false" customHeight="false" outlineLevel="0" collapsed="false">
      <c r="A76" s="311" t="str">
        <f aca="false">Questions!$A76</f>
        <v>APPL-13</v>
      </c>
      <c r="B76" s="311" t="str">
        <f aca="false">LEFT(A76,4)</f>
        <v>APPL</v>
      </c>
      <c r="C76" s="311" t="str">
        <f aca="false">VLOOKUP($A76,Questions!$A$3:$L$333,2,0)&amp;""</f>
        <v>If mobile, is the application available from a trusted source (e.g., App Store, Google Play Store)?</v>
      </c>
      <c r="D76" s="311" t="str">
        <f aca="false">VLOOKUP($A76,Questions!$A$3:$L$333,11,0)&amp;""</f>
        <v/>
      </c>
      <c r="E76" s="311" t="str">
        <f aca="false">VLOOKUP($A76,Questions!$A$3:$L$333,12,0)&amp;""</f>
        <v>Infrastructure</v>
      </c>
      <c r="F76" s="311" t="str">
        <f aca="false">VLOOKUP($A76,'Institution Evaluation'!$A$56:$K$346,3,0)&amp;""</f>
        <v/>
      </c>
      <c r="G76" s="311" t="str">
        <f aca="false">VLOOKUP($A76,'Institution Evaluation'!$A$56:$K$346,7,0)&amp;""</f>
        <v>Yes</v>
      </c>
      <c r="H76" s="311" t="str">
        <f aca="false">VLOOKUP($A76,'Institution Evaluation'!$A$56:$K$346,8,0)&amp;""</f>
        <v/>
      </c>
      <c r="I76" s="311" t="str">
        <f aca="false">VLOOKUP($A76,'Institution Evaluation'!$A$56:$K$346,9,0)&amp;""</f>
        <v>Minor Importance</v>
      </c>
      <c r="J76" s="311" t="str">
        <f aca="false">VLOOKUP($A76,'Institution Evaluation'!$A$56:$K$346,10,0)&amp;""</f>
        <v/>
      </c>
      <c r="K76" s="311" t="n">
        <f aca="false">IF($I76="Critical Importance",20,IF($I76="Minor Importance",5,10))</f>
        <v>5</v>
      </c>
      <c r="L76" s="283" t="n">
        <f aca="false">IF($E76="Not Scored", "N/A",IF(AND($D76='Auto Responses'!$J$27,$H76=""),"N/A",IF(AND($D76='Auto Responses'!$J$27,$H76='Auto Responses'!$J$7),1,IF(AND($D76='Auto Responses'!$J$27,$H76='Auto Responses'!$J$8),0,IF(OR($F76=$G76,$H76='Auto Responses'!$J$7),1,0)))))</f>
        <v>0</v>
      </c>
      <c r="M76" s="311" t="str">
        <f aca="false">VLOOKUP($A76,'Institution Evaluation'!$A$56:$K$346,10,0)&amp;""</f>
        <v/>
      </c>
      <c r="N76" s="311" t="n">
        <f aca="false">IF($J76="Critical Importance",1,IF(AND($J76="",$I76="Critical Importance"),1,0))</f>
        <v>0</v>
      </c>
      <c r="O76" s="283" t="str">
        <f aca="false">IF(OR($F$17="No",$E76="Not Scored",$F76="N/A"),"N/A",IF($J76="",$K76,IF($J76="Minor Importance",5,IF($J76="Standard Importance",10,IF($J76="Critical Importance",20,0)))))</f>
        <v>N/A</v>
      </c>
      <c r="P76" s="283" t="str">
        <f aca="false">IF(OR($O76="N/A",$L76="N/A"),"N/A",$O76*$L76)</f>
        <v>N/A</v>
      </c>
      <c r="Q76" s="283" t="n">
        <f aca="false">IF(M76="TRUE",1,0)</f>
        <v>0</v>
      </c>
      <c r="R76" s="283" t="n">
        <f aca="false">R75+Q76</f>
        <v>0</v>
      </c>
      <c r="S76" s="283" t="n">
        <f aca="false">IF(Q76=0,0,R76)</f>
        <v>0</v>
      </c>
      <c r="T76" s="283" t="n">
        <f aca="false">IF(N76=1,1,0)</f>
        <v>0</v>
      </c>
      <c r="U76" s="283" t="n">
        <f aca="false">U75+T76</f>
        <v>22</v>
      </c>
      <c r="V76" s="283" t="n">
        <f aca="false">IF(T76=0,0,U76)</f>
        <v>0</v>
      </c>
    </row>
    <row r="77" customFormat="false" ht="52.2" hidden="false" customHeight="false" outlineLevel="0" collapsed="false">
      <c r="A77" s="311" t="str">
        <f aca="false">Questions!$A77</f>
        <v>APPL-14</v>
      </c>
      <c r="B77" s="311" t="str">
        <f aca="false">LEFT(A77,4)</f>
        <v>APPL</v>
      </c>
      <c r="C77" s="311" t="str">
        <f aca="false">VLOOKUP($A77,Questions!$A$3:$L$333,2,0)&amp;""</f>
        <v>Do you have a fully implemented policy or procedure that details how your employees obtain administrator access to institutional instance of the application?</v>
      </c>
      <c r="D77" s="311" t="str">
        <f aca="false">VLOOKUP($A77,Questions!$A$3:$L$333,11,0)&amp;""</f>
        <v/>
      </c>
      <c r="E77" s="311" t="str">
        <f aca="false">VLOOKUP($A77,Questions!$A$3:$L$333,12,0)&amp;""</f>
        <v>Infrastructure</v>
      </c>
      <c r="F77" s="311" t="str">
        <f aca="false">VLOOKUP($A77,'Institution Evaluation'!$A$56:$K$346,3,0)&amp;""</f>
        <v/>
      </c>
      <c r="G77" s="311" t="str">
        <f aca="false">VLOOKUP($A77,'Institution Evaluation'!$A$56:$K$346,7,0)&amp;""</f>
        <v>Yes</v>
      </c>
      <c r="H77" s="311" t="str">
        <f aca="false">VLOOKUP($A77,'Institution Evaluation'!$A$56:$K$346,8,0)&amp;""</f>
        <v/>
      </c>
      <c r="I77" s="311" t="str">
        <f aca="false">VLOOKUP($A77,'Institution Evaluation'!$A$56:$K$346,9,0)&amp;""</f>
        <v>Minor Importance</v>
      </c>
      <c r="J77" s="311" t="str">
        <f aca="false">VLOOKUP($A77,'Institution Evaluation'!$A$56:$K$346,10,0)&amp;""</f>
        <v/>
      </c>
      <c r="K77" s="311" t="n">
        <f aca="false">IF($I77="Critical Importance",20,IF($I77="Minor Importance",5,10))</f>
        <v>5</v>
      </c>
      <c r="L77" s="283" t="n">
        <f aca="false">IF($E77="Not Scored", "N/A",IF(AND($D77='Auto Responses'!$J$27,$H77=""),"N/A",IF(AND($D77='Auto Responses'!$J$27,$H77='Auto Responses'!$J$7),1,IF(AND($D77='Auto Responses'!$J$27,$H77='Auto Responses'!$J$8),0,IF(OR($F77=$G77,$H77='Auto Responses'!$J$7),1,0)))))</f>
        <v>0</v>
      </c>
      <c r="M77" s="311" t="str">
        <f aca="false">VLOOKUP($A77,'Institution Evaluation'!$A$56:$K$346,10,0)&amp;""</f>
        <v/>
      </c>
      <c r="N77" s="311" t="n">
        <f aca="false">IF($J77="Critical Importance",1,IF(AND($J77="",$I77="Critical Importance"),1,0))</f>
        <v>0</v>
      </c>
      <c r="O77" s="283" t="str">
        <f aca="false">IF(OR($F$17="No",$E77="Not Scored"),"N/A",IF($J77="",$K77,IF($J77="Minor Importance",5,IF($J77="Standard Importance",10,IF($J77="Critical Importance",20,0)))))</f>
        <v>N/A</v>
      </c>
      <c r="P77" s="283" t="str">
        <f aca="false">IF(OR($O77="N/A",$L77="N/A"),"N/A",$O77*$L77)</f>
        <v>N/A</v>
      </c>
      <c r="Q77" s="283" t="n">
        <f aca="false">IF(M77="TRUE",1,0)</f>
        <v>0</v>
      </c>
      <c r="R77" s="283" t="n">
        <f aca="false">R76+Q77</f>
        <v>0</v>
      </c>
      <c r="S77" s="283" t="n">
        <f aca="false">IF(Q77=0,0,R77)</f>
        <v>0</v>
      </c>
      <c r="T77" s="283" t="n">
        <f aca="false">IF(N77=1,1,0)</f>
        <v>0</v>
      </c>
      <c r="U77" s="283" t="n">
        <f aca="false">U76+T77</f>
        <v>22</v>
      </c>
      <c r="V77" s="283" t="n">
        <f aca="false">IF(T77=0,0,U77)</f>
        <v>0</v>
      </c>
    </row>
    <row r="78" customFormat="false" ht="39.55" hidden="false" customHeight="false" outlineLevel="0" collapsed="false">
      <c r="A78" s="311" t="str">
        <f aca="false">Questions!$A78</f>
        <v>AAAI-01</v>
      </c>
      <c r="B78" s="311" t="str">
        <f aca="false">LEFT(A78,4)</f>
        <v>AAAI</v>
      </c>
      <c r="C78" s="311" t="str">
        <f aca="false">VLOOKUP($A78,Questions!$A$3:$L$333,2,0)&amp;""</f>
        <v>Does your solution support single sign-on (SSO) protocols for user and administrator authentication?*</v>
      </c>
      <c r="D78" s="311" t="str">
        <f aca="false">VLOOKUP($A78,Questions!$A$3:$L$333,11,0)&amp;""</f>
        <v/>
      </c>
      <c r="E78" s="311" t="str">
        <f aca="false">VLOOKUP($A78,Questions!$A$3:$L$333,12,0)&amp;""</f>
        <v>Product</v>
      </c>
      <c r="F78" s="311" t="str">
        <f aca="false">VLOOKUP($A78,'Institution Evaluation'!$A$56:$K$346,3,0)&amp;""</f>
        <v/>
      </c>
      <c r="G78" s="311" t="str">
        <f aca="false">VLOOKUP($A78,'Institution Evaluation'!$A$56:$K$346,7,0)&amp;""</f>
        <v>Yes</v>
      </c>
      <c r="H78" s="311" t="str">
        <f aca="false">VLOOKUP($A78,'Institution Evaluation'!$A$56:$K$346,8,0)&amp;""</f>
        <v/>
      </c>
      <c r="I78" s="311" t="str">
        <f aca="false">VLOOKUP($A78,'Institution Evaluation'!$A$56:$K$346,9,0)&amp;""</f>
        <v>Critical Importance</v>
      </c>
      <c r="J78" s="311" t="str">
        <f aca="false">VLOOKUP($A78,'Institution Evaluation'!$A$56:$K$346,10,0)&amp;""</f>
        <v/>
      </c>
      <c r="K78" s="311" t="n">
        <f aca="false">IF($I78="Critical Importance",20,IF($I78="Minor Importance",5,10))</f>
        <v>20</v>
      </c>
      <c r="L78" s="283" t="n">
        <f aca="false">IF($E78="Not Scored", "N/A",IF(AND($D78='Auto Responses'!$J$27,$H78=""),"N/A",IF(AND($D78='Auto Responses'!$J$27,$H78='Auto Responses'!$J$7),1,IF(AND($D78='Auto Responses'!$J$27,$H78='Auto Responses'!$J$8),0,IF(OR($F78=$G78,$H78='Auto Responses'!$J$7),1,0)))))</f>
        <v>0</v>
      </c>
      <c r="M78" s="311" t="str">
        <f aca="false">VLOOKUP($A78,'Institution Evaluation'!$A$56:$K$346,10,0)&amp;""</f>
        <v/>
      </c>
      <c r="N78" s="311" t="n">
        <f aca="false">IF($J78="Critical Importance",1,IF(AND($J78="",$I78="Critical Importance"),1,0))</f>
        <v>1</v>
      </c>
      <c r="O78" s="283" t="n">
        <f aca="false">IF($E78="Not Scored","N/A",IF($J78="",$K78,IF($J78="Minor Importance",5,IF($J78="Standard Importance",10,IF($J78="Critical Importance",20,0)))))</f>
        <v>20</v>
      </c>
      <c r="P78" s="283" t="n">
        <f aca="false">IF(OR($O78="N/A",$L78="N/A"),"N/A",$O78*$L78)</f>
        <v>0</v>
      </c>
      <c r="Q78" s="283" t="n">
        <f aca="false">IF(M78="TRUE",1,0)</f>
        <v>0</v>
      </c>
      <c r="R78" s="283" t="n">
        <f aca="false">R77+Q78</f>
        <v>0</v>
      </c>
      <c r="S78" s="283" t="n">
        <f aca="false">IF(Q78=0,0,R78)</f>
        <v>0</v>
      </c>
      <c r="T78" s="283" t="n">
        <f aca="false">IF(N78=1,1,0)</f>
        <v>1</v>
      </c>
      <c r="U78" s="283" t="n">
        <f aca="false">U77+T78</f>
        <v>23</v>
      </c>
      <c r="V78" s="283" t="n">
        <f aca="false">IF(T78=0,0,U78)</f>
        <v>23</v>
      </c>
    </row>
    <row r="79" customFormat="false" ht="39.55" hidden="false" customHeight="false" outlineLevel="0" collapsed="false">
      <c r="A79" s="311" t="str">
        <f aca="false">Questions!$A79</f>
        <v>AAAI-02</v>
      </c>
      <c r="B79" s="311" t="str">
        <f aca="false">LEFT(A79,4)</f>
        <v>AAAI</v>
      </c>
      <c r="C79" s="311" t="str">
        <f aca="false">VLOOKUP($A79,Questions!$A$3:$L$333,2,0)&amp;""</f>
        <v>For customers not using SSO, does your solution support local authentication protocols for user and administrator authentication?*</v>
      </c>
      <c r="D79" s="311" t="str">
        <f aca="false">VLOOKUP($A79,Questions!$A$3:$L$333,11,0)&amp;""</f>
        <v/>
      </c>
      <c r="E79" s="311" t="str">
        <f aca="false">VLOOKUP($A79,Questions!$A$3:$L$333,12,0)&amp;""</f>
        <v>Product</v>
      </c>
      <c r="F79" s="311" t="str">
        <f aca="false">VLOOKUP($A79,'Institution Evaluation'!$A$56:$K$346,3,0)&amp;""</f>
        <v/>
      </c>
      <c r="G79" s="311" t="str">
        <f aca="false">VLOOKUP($A79,'Institution Evaluation'!$A$56:$K$346,7,0)&amp;""</f>
        <v>Yes</v>
      </c>
      <c r="H79" s="311" t="str">
        <f aca="false">VLOOKUP($A79,'Institution Evaluation'!$A$56:$K$346,8,0)&amp;""</f>
        <v/>
      </c>
      <c r="I79" s="311" t="str">
        <f aca="false">VLOOKUP($A79,'Institution Evaluation'!$A$56:$K$346,9,0)&amp;""</f>
        <v>Critical Importance</v>
      </c>
      <c r="J79" s="311" t="str">
        <f aca="false">VLOOKUP($A79,'Institution Evaluation'!$A$56:$K$346,10,0)&amp;""</f>
        <v/>
      </c>
      <c r="K79" s="311" t="n">
        <f aca="false">IF($I79="Critical Importance",20,IF($I79="Minor Importance",5,10))</f>
        <v>20</v>
      </c>
      <c r="L79" s="283" t="n">
        <f aca="false">IF($E79="Not Scored", "N/A",IF(AND($D79='Auto Responses'!$J$27,$H79=""),"N/A",IF(AND($D79='Auto Responses'!$J$27,$H79='Auto Responses'!$J$7),1,IF(AND($D79='Auto Responses'!$J$27,$H79='Auto Responses'!$J$8),0,IF(OR($F79=$G79,$H79='Auto Responses'!$J$7),1,0)))))</f>
        <v>0</v>
      </c>
      <c r="M79" s="311" t="str">
        <f aca="false">VLOOKUP($A79,'Institution Evaluation'!$A$56:$K$346,10,0)&amp;""</f>
        <v/>
      </c>
      <c r="N79" s="311" t="n">
        <f aca="false">IF($J79="Critical Importance",1,IF(AND($J79="",$I79="Critical Importance"),1,0))</f>
        <v>1</v>
      </c>
      <c r="O79" s="283" t="n">
        <f aca="false">IF($E79="Not Scored","N/A",IF($J79="",$K79,IF($J79="Minor Importance",5,IF($J79="Standard Importance",10,IF($J79="Critical Importance",20,0)))))</f>
        <v>20</v>
      </c>
      <c r="P79" s="283" t="n">
        <f aca="false">IF(OR($O79="N/A",$L79="N/A"),"N/A",$O79*$L79)</f>
        <v>0</v>
      </c>
      <c r="Q79" s="283" t="n">
        <f aca="false">IF(M79="TRUE",1,0)</f>
        <v>0</v>
      </c>
      <c r="R79" s="283" t="n">
        <f aca="false">R78+Q79</f>
        <v>0</v>
      </c>
      <c r="S79" s="283" t="n">
        <f aca="false">IF(Q79=0,0,R79)</f>
        <v>0</v>
      </c>
      <c r="T79" s="283" t="n">
        <f aca="false">IF(N79=1,1,0)</f>
        <v>1</v>
      </c>
      <c r="U79" s="283" t="n">
        <f aca="false">U78+T79</f>
        <v>24</v>
      </c>
      <c r="V79" s="283" t="n">
        <f aca="false">IF(T79=0,0,U79)</f>
        <v>24</v>
      </c>
    </row>
    <row r="80" customFormat="false" ht="39.55" hidden="false" customHeight="false" outlineLevel="0" collapsed="false">
      <c r="A80" s="311" t="str">
        <f aca="false">Questions!$A80</f>
        <v>AAAI-03</v>
      </c>
      <c r="B80" s="311" t="str">
        <f aca="false">LEFT(A80,4)</f>
        <v>AAAI</v>
      </c>
      <c r="C80" s="311" t="str">
        <f aca="false">VLOOKUP($A80,Questions!$A$3:$L$333,2,0)&amp;""</f>
        <v>For customers not using SSO, can you enforce password/passphrase complexity requirements (provided by the institution)?*</v>
      </c>
      <c r="D80" s="311" t="str">
        <f aca="false">VLOOKUP($A80,Questions!$A$3:$L$333,11,0)&amp;""</f>
        <v/>
      </c>
      <c r="E80" s="311" t="str">
        <f aca="false">VLOOKUP($A80,Questions!$A$3:$L$333,12,0)&amp;""</f>
        <v>Product</v>
      </c>
      <c r="F80" s="311" t="str">
        <f aca="false">VLOOKUP($A80,'Institution Evaluation'!$A$56:$K$346,3,0)&amp;""</f>
        <v/>
      </c>
      <c r="G80" s="311" t="str">
        <f aca="false">VLOOKUP($A80,'Institution Evaluation'!$A$56:$K$346,7,0)&amp;""</f>
        <v>Yes</v>
      </c>
      <c r="H80" s="311" t="str">
        <f aca="false">VLOOKUP($A80,'Institution Evaluation'!$A$56:$K$346,8,0)&amp;""</f>
        <v/>
      </c>
      <c r="I80" s="311" t="str">
        <f aca="false">VLOOKUP($A80,'Institution Evaluation'!$A$56:$K$346,9,0)&amp;""</f>
        <v>Critical Importance</v>
      </c>
      <c r="J80" s="311" t="str">
        <f aca="false">VLOOKUP($A80,'Institution Evaluation'!$A$56:$K$346,10,0)&amp;""</f>
        <v/>
      </c>
      <c r="K80" s="311" t="n">
        <f aca="false">IF($I80="Critical Importance",20,IF($I80="Minor Importance",5,10))</f>
        <v>20</v>
      </c>
      <c r="L80" s="283" t="n">
        <f aca="false">IF($E80="Not Scored", "N/A",IF(AND($D80='Auto Responses'!$J$27,$H80=""),"N/A",IF(AND($D80='Auto Responses'!$J$27,$H80='Auto Responses'!$J$7),1,IF(AND($D80='Auto Responses'!$J$27,$H80='Auto Responses'!$J$8),0,IF(OR($F80=$G80,$H80='Auto Responses'!$J$7),1,0)))))</f>
        <v>0</v>
      </c>
      <c r="M80" s="311" t="str">
        <f aca="false">VLOOKUP($A80,'Institution Evaluation'!$A$56:$K$346,10,0)&amp;""</f>
        <v/>
      </c>
      <c r="N80" s="311" t="n">
        <f aca="false">IF($J80="Critical Importance",1,IF(AND($J80="",$I80="Critical Importance"),1,0))</f>
        <v>1</v>
      </c>
      <c r="O80" s="283" t="n">
        <f aca="false">IF($E80="Not Scored","N/A",IF($J80="",$K80,IF($J80="Minor Importance",5,IF($J80="Standard Importance",10,IF($J80="Critical Importance",20,0)))))</f>
        <v>20</v>
      </c>
      <c r="P80" s="283" t="n">
        <f aca="false">IF(OR($O80="N/A",$L80="N/A"),"N/A",$O80*$L80)</f>
        <v>0</v>
      </c>
      <c r="Q80" s="283" t="n">
        <f aca="false">IF(M80="TRUE",1,0)</f>
        <v>0</v>
      </c>
      <c r="R80" s="283" t="n">
        <f aca="false">R79+Q80</f>
        <v>0</v>
      </c>
      <c r="S80" s="283" t="n">
        <f aca="false">IF(Q80=0,0,R80)</f>
        <v>0</v>
      </c>
      <c r="T80" s="283" t="n">
        <f aca="false">IF(N80=1,1,0)</f>
        <v>1</v>
      </c>
      <c r="U80" s="283" t="n">
        <f aca="false">U79+T80</f>
        <v>25</v>
      </c>
      <c r="V80" s="283" t="n">
        <f aca="false">IF(T80=0,0,U80)</f>
        <v>25</v>
      </c>
    </row>
    <row r="81" customFormat="false" ht="39.55" hidden="false" customHeight="false" outlineLevel="0" collapsed="false">
      <c r="A81" s="311" t="str">
        <f aca="false">Questions!$A81</f>
        <v>AAAI-04</v>
      </c>
      <c r="B81" s="311" t="str">
        <f aca="false">LEFT(A81,4)</f>
        <v>AAAI</v>
      </c>
      <c r="C81" s="311" t="str">
        <f aca="false">VLOOKUP($A81,Questions!$A$3:$L$333,2,0)&amp;""</f>
        <v>For customers not using SSO, does the system have password complexity or length limitations and/or restrictions?*</v>
      </c>
      <c r="D81" s="311" t="str">
        <f aca="false">VLOOKUP($A81,Questions!$A$3:$L$333,11,0)&amp;""</f>
        <v/>
      </c>
      <c r="E81" s="311" t="str">
        <f aca="false">VLOOKUP($A81,Questions!$A$3:$L$333,12,0)&amp;""</f>
        <v>Product</v>
      </c>
      <c r="F81" s="311" t="str">
        <f aca="false">VLOOKUP($A81,'Institution Evaluation'!$A$56:$K$346,3,0)&amp;""</f>
        <v/>
      </c>
      <c r="G81" s="311" t="str">
        <f aca="false">VLOOKUP($A81,'Institution Evaluation'!$A$56:$K$346,7,0)&amp;""</f>
        <v>No</v>
      </c>
      <c r="H81" s="311" t="str">
        <f aca="false">VLOOKUP($A81,'Institution Evaluation'!$A$56:$K$346,8,0)&amp;""</f>
        <v/>
      </c>
      <c r="I81" s="311" t="str">
        <f aca="false">VLOOKUP($A81,'Institution Evaluation'!$A$56:$K$346,9,0)&amp;""</f>
        <v>Critical Importance</v>
      </c>
      <c r="J81" s="311" t="str">
        <f aca="false">VLOOKUP($A81,'Institution Evaluation'!$A$56:$K$346,10,0)&amp;""</f>
        <v/>
      </c>
      <c r="K81" s="311" t="n">
        <f aca="false">IF($I81="Critical Importance",20,IF($I81="Minor Importance",5,10))</f>
        <v>20</v>
      </c>
      <c r="L81" s="283" t="n">
        <f aca="false">IF($E81="Not Scored", "N/A",IF(AND($D81='Auto Responses'!$J$27,$H81=""),"N/A",IF(AND($D81='Auto Responses'!$J$27,$H81='Auto Responses'!$J$7),1,IF(AND($D81='Auto Responses'!$J$27,$H81='Auto Responses'!$J$8),0,IF(OR($F81=$G81,$H81='Auto Responses'!$J$7),1,0)))))</f>
        <v>0</v>
      </c>
      <c r="M81" s="311" t="str">
        <f aca="false">VLOOKUP($A81,'Institution Evaluation'!$A$56:$K$346,10,0)&amp;""</f>
        <v/>
      </c>
      <c r="N81" s="311" t="n">
        <f aca="false">IF($J81="Critical Importance",1,IF(AND($J81="",$I81="Critical Importance"),1,0))</f>
        <v>1</v>
      </c>
      <c r="O81" s="283" t="n">
        <f aca="false">IF($E81="Not Scored","N/A",IF($J81="",$K81,IF($J81="Minor Importance",5,IF($J81="Standard Importance",10,IF($J81="Critical Importance",20,0)))))</f>
        <v>20</v>
      </c>
      <c r="P81" s="283" t="n">
        <f aca="false">IF(OR($O81="N/A",$L81="N/A"),"N/A",$O81*$L81)</f>
        <v>0</v>
      </c>
      <c r="Q81" s="283" t="n">
        <f aca="false">IF(M81="TRUE",1,0)</f>
        <v>0</v>
      </c>
      <c r="R81" s="283" t="n">
        <f aca="false">R80+Q81</f>
        <v>0</v>
      </c>
      <c r="S81" s="283" t="n">
        <f aca="false">IF(Q81=0,0,R81)</f>
        <v>0</v>
      </c>
      <c r="T81" s="283" t="n">
        <f aca="false">IF(N81=1,1,0)</f>
        <v>1</v>
      </c>
      <c r="U81" s="283" t="n">
        <f aca="false">U80+T81</f>
        <v>26</v>
      </c>
      <c r="V81" s="283" t="n">
        <f aca="false">IF(T81=0,0,U81)</f>
        <v>26</v>
      </c>
    </row>
    <row r="82" customFormat="false" ht="52.2" hidden="false" customHeight="false" outlineLevel="0" collapsed="false">
      <c r="A82" s="311" t="str">
        <f aca="false">Questions!$A82</f>
        <v>AAAI-05</v>
      </c>
      <c r="B82" s="311" t="str">
        <f aca="false">LEFT(A82,4)</f>
        <v>AAAI</v>
      </c>
      <c r="C82" s="311" t="str">
        <f aca="false">VLOOKUP($A82,Questions!$A$3:$L$333,2,0)&amp;""</f>
        <v>For customers not using SSO, do you have documented password/passphrase reset procedures that are currently implemented in the system and/or customer support?*</v>
      </c>
      <c r="D82" s="311" t="str">
        <f aca="false">VLOOKUP($A82,Questions!$A$3:$L$333,11,0)&amp;""</f>
        <v/>
      </c>
      <c r="E82" s="311" t="str">
        <f aca="false">VLOOKUP($A82,Questions!$A$3:$L$333,12,0)&amp;""</f>
        <v>Product</v>
      </c>
      <c r="F82" s="311" t="str">
        <f aca="false">VLOOKUP($A82,'Institution Evaluation'!$A$56:$K$346,3,0)&amp;""</f>
        <v/>
      </c>
      <c r="G82" s="311" t="str">
        <f aca="false">VLOOKUP($A82,'Institution Evaluation'!$A$56:$K$346,7,0)&amp;""</f>
        <v>Yes</v>
      </c>
      <c r="H82" s="311" t="str">
        <f aca="false">VLOOKUP($A82,'Institution Evaluation'!$A$56:$K$346,8,0)&amp;""</f>
        <v/>
      </c>
      <c r="I82" s="311" t="str">
        <f aca="false">VLOOKUP($A82,'Institution Evaluation'!$A$56:$K$346,9,0)&amp;""</f>
        <v>Critical Importance</v>
      </c>
      <c r="J82" s="311" t="str">
        <f aca="false">VLOOKUP($A82,'Institution Evaluation'!$A$56:$K$346,10,0)&amp;""</f>
        <v/>
      </c>
      <c r="K82" s="311" t="n">
        <f aca="false">IF($I82="Critical Importance",20,IF($I82="Minor Importance",5,10))</f>
        <v>20</v>
      </c>
      <c r="L82" s="283" t="n">
        <f aca="false">IF($E82="Not Scored", "N/A",IF(AND($D82='Auto Responses'!$J$27,$H82=""),"N/A",IF(AND($D82='Auto Responses'!$J$27,$H82='Auto Responses'!$J$7),1,IF(AND($D82='Auto Responses'!$J$27,$H82='Auto Responses'!$J$8),0,IF(OR($F82=$G82,$H82='Auto Responses'!$J$7),1,0)))))</f>
        <v>0</v>
      </c>
      <c r="M82" s="311" t="str">
        <f aca="false">VLOOKUP($A82,'Institution Evaluation'!$A$56:$K$346,10,0)&amp;""</f>
        <v/>
      </c>
      <c r="N82" s="311" t="n">
        <f aca="false">IF($J82="Critical Importance",1,IF(AND($J82="",$I82="Critical Importance"),1,0))</f>
        <v>1</v>
      </c>
      <c r="O82" s="283" t="n">
        <f aca="false">IF($E82="Not Scored","N/A",IF($J82="",$K82,IF($J82="Minor Importance",5,IF($J82="Standard Importance",10,IF($J82="Critical Importance",20,0)))))</f>
        <v>20</v>
      </c>
      <c r="P82" s="283" t="n">
        <f aca="false">IF(OR($O82="N/A",$L82="N/A"),"N/A",$O82*$L82)</f>
        <v>0</v>
      </c>
      <c r="Q82" s="283" t="n">
        <f aca="false">IF(M82="TRUE",1,0)</f>
        <v>0</v>
      </c>
      <c r="R82" s="283" t="n">
        <f aca="false">R81+Q82</f>
        <v>0</v>
      </c>
      <c r="S82" s="283" t="n">
        <f aca="false">IF(Q82=0,0,R82)</f>
        <v>0</v>
      </c>
      <c r="T82" s="283" t="n">
        <f aca="false">IF(N82=1,1,0)</f>
        <v>1</v>
      </c>
      <c r="U82" s="283" t="n">
        <f aca="false">U81+T82</f>
        <v>27</v>
      </c>
      <c r="V82" s="283" t="n">
        <f aca="false">IF(T82=0,0,U82)</f>
        <v>27</v>
      </c>
    </row>
    <row r="83" customFormat="false" ht="39.55" hidden="false" customHeight="false" outlineLevel="0" collapsed="false">
      <c r="A83" s="311" t="str">
        <f aca="false">Questions!$A83</f>
        <v>AAAI-06</v>
      </c>
      <c r="B83" s="311" t="str">
        <f aca="false">LEFT(A83,4)</f>
        <v>AAAI</v>
      </c>
      <c r="C83" s="311" t="str">
        <f aca="false">VLOOKUP($A83,Questions!$A$3:$L$333,2,0)&amp;""</f>
        <v>Does your organization participate in InCommon or another eduGAIN-affiliated trust federation?*</v>
      </c>
      <c r="D83" s="311" t="str">
        <f aca="false">VLOOKUP($A83,Questions!$A$3:$L$333,11,0)&amp;""</f>
        <v/>
      </c>
      <c r="E83" s="311" t="str">
        <f aca="false">VLOOKUP($A83,Questions!$A$3:$L$333,12,0)&amp;""</f>
        <v>Product</v>
      </c>
      <c r="F83" s="311" t="str">
        <f aca="false">VLOOKUP($A83,'Institution Evaluation'!$A$56:$K$346,3,0)&amp;""</f>
        <v/>
      </c>
      <c r="G83" s="311" t="str">
        <f aca="false">VLOOKUP($A83,'Institution Evaluation'!$A$56:$K$346,7,0)&amp;""</f>
        <v>Yes</v>
      </c>
      <c r="H83" s="311" t="str">
        <f aca="false">VLOOKUP($A83,'Institution Evaluation'!$A$56:$K$346,8,0)&amp;""</f>
        <v/>
      </c>
      <c r="I83" s="311" t="str">
        <f aca="false">VLOOKUP($A83,'Institution Evaluation'!$A$56:$K$346,9,0)&amp;""</f>
        <v>Critical Importance</v>
      </c>
      <c r="J83" s="311" t="str">
        <f aca="false">VLOOKUP($A83,'Institution Evaluation'!$A$56:$K$346,10,0)&amp;""</f>
        <v/>
      </c>
      <c r="K83" s="311" t="n">
        <f aca="false">IF($I83="Critical Importance",20,IF($I83="Minor Importance",5,10))</f>
        <v>20</v>
      </c>
      <c r="L83" s="283" t="n">
        <f aca="false">IF($E83="Not Scored", "N/A",IF(AND($D83='Auto Responses'!$J$27,$H83=""),"N/A",IF(AND($D83='Auto Responses'!$J$27,$H83='Auto Responses'!$J$7),1,IF(AND($D83='Auto Responses'!$J$27,$H83='Auto Responses'!$J$8),0,IF(OR($F83=$G83,$H83='Auto Responses'!$J$7),1,0)))))</f>
        <v>0</v>
      </c>
      <c r="M83" s="311" t="str">
        <f aca="false">VLOOKUP($A83,'Institution Evaluation'!$A$56:$K$346,10,0)&amp;""</f>
        <v/>
      </c>
      <c r="N83" s="311" t="n">
        <f aca="false">IF($J83="Critical Importance",1,IF(AND($J83="",$I83="Critical Importance"),1,0))</f>
        <v>1</v>
      </c>
      <c r="O83" s="283" t="n">
        <f aca="false">IF($E83="Not Scored","N/A",IF($J83="",$K83,IF($J83="Minor Importance",5,IF($J83="Standard Importance",10,IF($J83="Critical Importance",20,0)))))</f>
        <v>20</v>
      </c>
      <c r="P83" s="283" t="n">
        <f aca="false">IF(OR($O83="N/A",$L83="N/A"),"N/A",$O83*$L83)</f>
        <v>0</v>
      </c>
      <c r="Q83" s="283" t="n">
        <f aca="false">IF(M83="TRUE",1,0)</f>
        <v>0</v>
      </c>
      <c r="R83" s="283" t="n">
        <f aca="false">R82+Q83</f>
        <v>0</v>
      </c>
      <c r="S83" s="283" t="n">
        <f aca="false">IF(Q83=0,0,R83)</f>
        <v>0</v>
      </c>
      <c r="T83" s="283" t="n">
        <f aca="false">IF(N83=1,1,0)</f>
        <v>1</v>
      </c>
      <c r="U83" s="283" t="n">
        <f aca="false">U82+T83</f>
        <v>28</v>
      </c>
      <c r="V83" s="283" t="n">
        <f aca="false">IF(T83=0,0,U83)</f>
        <v>28</v>
      </c>
    </row>
    <row r="84" customFormat="false" ht="26.85" hidden="false" customHeight="false" outlineLevel="0" collapsed="false">
      <c r="A84" s="311" t="str">
        <f aca="false">Questions!$A84</f>
        <v>AAAI-07</v>
      </c>
      <c r="B84" s="311" t="str">
        <f aca="false">LEFT(A84,4)</f>
        <v>AAAI</v>
      </c>
      <c r="C84" s="311" t="str">
        <f aca="false">VLOOKUP($A84,Questions!$A$3:$L$333,2,0)&amp;""</f>
        <v>Are there any passwords/passphrases hard-coded into your systems or solutions?*</v>
      </c>
      <c r="D84" s="311" t="str">
        <f aca="false">VLOOKUP($A84,Questions!$A$3:$L$333,11,0)&amp;""</f>
        <v/>
      </c>
      <c r="E84" s="311" t="str">
        <f aca="false">VLOOKUP($A84,Questions!$A$3:$L$333,12,0)&amp;""</f>
        <v>Product</v>
      </c>
      <c r="F84" s="311" t="str">
        <f aca="false">VLOOKUP($A84,'Institution Evaluation'!$A$56:$K$346,3,0)&amp;""</f>
        <v/>
      </c>
      <c r="G84" s="311" t="str">
        <f aca="false">VLOOKUP($A84,'Institution Evaluation'!$A$56:$K$346,7,0)&amp;""</f>
        <v>No</v>
      </c>
      <c r="H84" s="311" t="str">
        <f aca="false">VLOOKUP($A84,'Institution Evaluation'!$A$56:$K$346,8,0)&amp;""</f>
        <v/>
      </c>
      <c r="I84" s="311" t="str">
        <f aca="false">VLOOKUP($A84,'Institution Evaluation'!$A$56:$K$346,9,0)&amp;""</f>
        <v>Critical Importance</v>
      </c>
      <c r="J84" s="311" t="str">
        <f aca="false">VLOOKUP($A84,'Institution Evaluation'!$A$56:$K$346,10,0)&amp;""</f>
        <v/>
      </c>
      <c r="K84" s="311" t="n">
        <f aca="false">IF($I84="Critical Importance",20,IF($I84="Minor Importance",5,10))</f>
        <v>20</v>
      </c>
      <c r="L84" s="283" t="n">
        <f aca="false">IF($E84="Not Scored", "N/A",IF(AND($D84='Auto Responses'!$J$27,$H84=""),"N/A",IF(AND($D84='Auto Responses'!$J$27,$H84='Auto Responses'!$J$7),1,IF(AND($D84='Auto Responses'!$J$27,$H84='Auto Responses'!$J$8),0,IF(OR($F84=$G84,$H84='Auto Responses'!$J$7),1,0)))))</f>
        <v>0</v>
      </c>
      <c r="M84" s="311" t="str">
        <f aca="false">VLOOKUP($A84,'Institution Evaluation'!$A$56:$K$346,10,0)&amp;""</f>
        <v/>
      </c>
      <c r="N84" s="311" t="n">
        <f aca="false">IF($J84="Critical Importance",1,IF(AND($J84="",$I84="Critical Importance"),1,0))</f>
        <v>1</v>
      </c>
      <c r="O84" s="283" t="n">
        <f aca="false">IF($E84="Not Scored","N/A",IF($J84="",$K84,IF($J84="Minor Importance",5,IF($J84="Standard Importance",10,IF($J84="Critical Importance",20,0)))))</f>
        <v>20</v>
      </c>
      <c r="P84" s="283" t="n">
        <f aca="false">IF(OR($O84="N/A",$L84="N/A"),"N/A",$O84*$L84)</f>
        <v>0</v>
      </c>
      <c r="Q84" s="283" t="n">
        <f aca="false">IF(M84="TRUE",1,0)</f>
        <v>0</v>
      </c>
      <c r="R84" s="283" t="n">
        <f aca="false">R83+Q84</f>
        <v>0</v>
      </c>
      <c r="S84" s="283" t="n">
        <f aca="false">IF(Q84=0,0,R84)</f>
        <v>0</v>
      </c>
      <c r="T84" s="283" t="n">
        <f aca="false">IF(N84=1,1,0)</f>
        <v>1</v>
      </c>
      <c r="U84" s="283" t="n">
        <f aca="false">U83+T84</f>
        <v>29</v>
      </c>
      <c r="V84" s="283" t="n">
        <f aca="false">IF(T84=0,0,U84)</f>
        <v>29</v>
      </c>
    </row>
    <row r="85" customFormat="false" ht="26.85" hidden="false" customHeight="false" outlineLevel="0" collapsed="false">
      <c r="A85" s="311" t="str">
        <f aca="false">Questions!$A85</f>
        <v>AAAI-08</v>
      </c>
      <c r="B85" s="311" t="str">
        <f aca="false">LEFT(A85,4)</f>
        <v>AAAI</v>
      </c>
      <c r="C85" s="311" t="str">
        <f aca="false">VLOOKUP($A85,Questions!$A$3:$L$333,2,0)&amp;""</f>
        <v>Are you storing any passwords in plaintext?*</v>
      </c>
      <c r="D85" s="311" t="str">
        <f aca="false">VLOOKUP($A85,Questions!$A$3:$L$333,11,0)&amp;""</f>
        <v/>
      </c>
      <c r="E85" s="311" t="str">
        <f aca="false">VLOOKUP($A85,Questions!$A$3:$L$333,12,0)&amp;""</f>
        <v>Product</v>
      </c>
      <c r="F85" s="311" t="str">
        <f aca="false">VLOOKUP($A85,'Institution Evaluation'!$A$56:$K$346,3,0)&amp;""</f>
        <v/>
      </c>
      <c r="G85" s="311" t="str">
        <f aca="false">VLOOKUP($A85,'Institution Evaluation'!$A$56:$K$346,7,0)&amp;""</f>
        <v>No</v>
      </c>
      <c r="H85" s="311" t="str">
        <f aca="false">VLOOKUP($A85,'Institution Evaluation'!$A$56:$K$346,8,0)&amp;""</f>
        <v/>
      </c>
      <c r="I85" s="311" t="str">
        <f aca="false">VLOOKUP($A85,'Institution Evaluation'!$A$56:$K$346,9,0)&amp;""</f>
        <v>Critical Importance</v>
      </c>
      <c r="J85" s="311" t="str">
        <f aca="false">VLOOKUP($A85,'Institution Evaluation'!$A$56:$K$346,10,0)&amp;""</f>
        <v/>
      </c>
      <c r="K85" s="311" t="n">
        <f aca="false">IF($I85="Critical Importance",20,IF($I85="Minor Importance",5,10))</f>
        <v>20</v>
      </c>
      <c r="L85" s="283" t="n">
        <f aca="false">IF($E85="Not Scored", "N/A",IF(AND($D85='Auto Responses'!$J$27,$H85=""),"N/A",IF(AND($D85='Auto Responses'!$J$27,$H85='Auto Responses'!$J$7),1,IF(AND($D85='Auto Responses'!$J$27,$H85='Auto Responses'!$J$8),0,IF(OR($F85=$G85,$H85='Auto Responses'!$J$7),1,0)))))</f>
        <v>0</v>
      </c>
      <c r="M85" s="311" t="str">
        <f aca="false">VLOOKUP($A85,'Institution Evaluation'!$A$56:$K$346,10,0)&amp;""</f>
        <v/>
      </c>
      <c r="N85" s="311" t="n">
        <f aca="false">IF($J85="Critical Importance",1,IF(AND($J85="",$I85="Critical Importance"),1,0))</f>
        <v>1</v>
      </c>
      <c r="O85" s="283" t="n">
        <f aca="false">IF($E85="Not Scored","N/A",IF($J85="",$K85,IF($J85="Minor Importance",5,IF($J85="Standard Importance",10,IF($J85="Critical Importance",20,0)))))</f>
        <v>20</v>
      </c>
      <c r="P85" s="283" t="n">
        <f aca="false">IF(OR($O85="N/A",$L85="N/A"),"N/A",$O85*$L85)</f>
        <v>0</v>
      </c>
      <c r="Q85" s="283" t="n">
        <f aca="false">IF(M85="TRUE",1,0)</f>
        <v>0</v>
      </c>
      <c r="R85" s="283" t="n">
        <f aca="false">R84+Q85</f>
        <v>0</v>
      </c>
      <c r="S85" s="283" t="n">
        <f aca="false">IF(Q85=0,0,R85)</f>
        <v>0</v>
      </c>
      <c r="T85" s="283" t="n">
        <f aca="false">IF(N85=1,1,0)</f>
        <v>1</v>
      </c>
      <c r="U85" s="283" t="n">
        <f aca="false">U84+T85</f>
        <v>30</v>
      </c>
      <c r="V85" s="283" t="n">
        <f aca="false">IF(T85=0,0,U85)</f>
        <v>30</v>
      </c>
    </row>
    <row r="86" customFormat="false" ht="39.55" hidden="false" customHeight="false" outlineLevel="0" collapsed="false">
      <c r="A86" s="311" t="str">
        <f aca="false">Questions!$A86</f>
        <v>AAAI-09</v>
      </c>
      <c r="B86" s="311" t="str">
        <f aca="false">LEFT(A86,4)</f>
        <v>AAAI</v>
      </c>
      <c r="C86" s="311" t="str">
        <f aca="false">VLOOKUP($A86,Questions!$A$3:$L$333,2,0)&amp;""</f>
        <v>Are audit logs available that include AT LEAST all of the following: login, logout, actions performed, and source IP address?*</v>
      </c>
      <c r="D86" s="311" t="str">
        <f aca="false">VLOOKUP($A86,Questions!$A$3:$L$333,11,0)&amp;""</f>
        <v/>
      </c>
      <c r="E86" s="311" t="str">
        <f aca="false">VLOOKUP($A86,Questions!$A$3:$L$333,12,0)&amp;""</f>
        <v>Product</v>
      </c>
      <c r="F86" s="311" t="str">
        <f aca="false">VLOOKUP($A86,'Institution Evaluation'!$A$56:$K$346,3,0)&amp;""</f>
        <v/>
      </c>
      <c r="G86" s="311" t="str">
        <f aca="false">VLOOKUP($A86,'Institution Evaluation'!$A$56:$K$346,7,0)&amp;""</f>
        <v>Yes</v>
      </c>
      <c r="H86" s="311" t="str">
        <f aca="false">VLOOKUP($A86,'Institution Evaluation'!$A$56:$K$346,8,0)&amp;""</f>
        <v/>
      </c>
      <c r="I86" s="311" t="str">
        <f aca="false">VLOOKUP($A86,'Institution Evaluation'!$A$56:$K$346,9,0)&amp;""</f>
        <v>Critical Importance</v>
      </c>
      <c r="J86" s="311" t="str">
        <f aca="false">VLOOKUP($A86,'Institution Evaluation'!$A$56:$K$346,10,0)&amp;""</f>
        <v/>
      </c>
      <c r="K86" s="311" t="n">
        <f aca="false">IF($I86="Critical Importance",20,IF($I86="Minor Importance",5,10))</f>
        <v>20</v>
      </c>
      <c r="L86" s="283" t="n">
        <f aca="false">IF($E86="Not Scored", "N/A",IF(AND($D86='Auto Responses'!$J$27,$H86=""),"N/A",IF(AND($D86='Auto Responses'!$J$27,$H86='Auto Responses'!$J$7),1,IF(AND($D86='Auto Responses'!$J$27,$H86='Auto Responses'!$J$8),0,IF(OR($F86=$G86,$H86='Auto Responses'!$J$7),1,0)))))</f>
        <v>0</v>
      </c>
      <c r="M86" s="311" t="str">
        <f aca="false">VLOOKUP($A86,'Institution Evaluation'!$A$56:$K$346,10,0)&amp;""</f>
        <v/>
      </c>
      <c r="N86" s="311" t="n">
        <f aca="false">IF($J86="Critical Importance",1,IF(AND($J86="",$I86="Critical Importance"),1,0))</f>
        <v>1</v>
      </c>
      <c r="O86" s="283" t="n">
        <f aca="false">IF($E86="Not Scored","N/A",IF($J86="",$K86,IF($J86="Minor Importance",5,IF($J86="Standard Importance",10,IF($J86="Critical Importance",20,0)))))</f>
        <v>20</v>
      </c>
      <c r="P86" s="283" t="n">
        <f aca="false">IF(OR($O86="N/A",$L86="N/A"),"N/A",$O86*$L86)</f>
        <v>0</v>
      </c>
      <c r="Q86" s="283" t="n">
        <f aca="false">IF(M86="TRUE",1,0)</f>
        <v>0</v>
      </c>
      <c r="R86" s="283" t="n">
        <f aca="false">R85+Q86</f>
        <v>0</v>
      </c>
      <c r="S86" s="283" t="n">
        <f aca="false">IF(Q86=0,0,R86)</f>
        <v>0</v>
      </c>
      <c r="T86" s="283" t="n">
        <f aca="false">IF(N86=1,1,0)</f>
        <v>1</v>
      </c>
      <c r="U86" s="283" t="n">
        <f aca="false">U85+T86</f>
        <v>31</v>
      </c>
      <c r="V86" s="283" t="n">
        <f aca="false">IF(T86=0,0,U86)</f>
        <v>31</v>
      </c>
    </row>
    <row r="87" customFormat="false" ht="115.65" hidden="false" customHeight="false" outlineLevel="0" collapsed="false">
      <c r="A87" s="311" t="str">
        <f aca="false">Questions!$A87</f>
        <v>AAAI-10</v>
      </c>
      <c r="B87" s="311" t="str">
        <f aca="false">LEFT(A87,4)</f>
        <v>AAAI</v>
      </c>
      <c r="C87" s="311" t="str">
        <f aca="false">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311" t="str">
        <f aca="false">VLOOKUP($A87,Questions!$A$3:$L$333,11,0)&amp;""</f>
        <v/>
      </c>
      <c r="E87" s="311" t="str">
        <f aca="false">VLOOKUP($A87,Questions!$A$3:$L$333,12,0)&amp;""</f>
        <v>Not scored</v>
      </c>
      <c r="F87" s="311" t="str">
        <f aca="false">VLOOKUP($A87,'Institution Evaluation'!$A$56:$K$346,3,0)&amp;""</f>
        <v/>
      </c>
      <c r="G87" s="311" t="str">
        <f aca="false">VLOOKUP($A87,'Institution Evaluation'!$A$56:$K$346,7,0)&amp;""</f>
        <v>Not scored</v>
      </c>
      <c r="H87" s="311" t="str">
        <f aca="false">VLOOKUP($A87,'Institution Evaluation'!$A$56:$K$346,8,0)&amp;""</f>
        <v/>
      </c>
      <c r="I87" s="311" t="str">
        <f aca="false">VLOOKUP($A87,'Institution Evaluation'!$A$56:$K$346,9,0)&amp;""</f>
        <v/>
      </c>
      <c r="J87" s="311" t="str">
        <f aca="false">VLOOKUP($A87,'Institution Evaluation'!$A$56:$K$346,10,0)&amp;""</f>
        <v/>
      </c>
      <c r="K87" s="311" t="n">
        <f aca="false">IF($I87="Critical Importance",20,IF($I87="Minor Importance",5,10))</f>
        <v>10</v>
      </c>
      <c r="L87" s="283" t="str">
        <f aca="false">IF($E87="Not Scored", "N/A",IF(AND($D87='Auto Responses'!$J$27,$H87=""),"N/A",IF(AND($D87='Auto Responses'!$J$27,$H87='Auto Responses'!$J$7),1,IF(AND($D87='Auto Responses'!$J$27,$H87='Auto Responses'!$J$8),0,IF(OR($F87=$G87,$H87='Auto Responses'!$J$7),1,0)))))</f>
        <v>N/A</v>
      </c>
      <c r="M87" s="311" t="str">
        <f aca="false">VLOOKUP($A87,'Institution Evaluation'!$A$56:$K$346,10,0)&amp;""</f>
        <v/>
      </c>
      <c r="N87" s="311" t="n">
        <f aca="false">IF($J87="Critical Importance",1,IF(AND($J87="",$I87="Critical Importance"),1,0))</f>
        <v>0</v>
      </c>
      <c r="O87" s="283" t="str">
        <f aca="false">IF($E87="Not Scored","N/A",IF($J87="",$K87,IF($J87="Minor Importance",5,IF($J87="Standard Importance",10,IF($J87="Critical Importance",20,0)))))</f>
        <v>N/A</v>
      </c>
      <c r="P87" s="283" t="str">
        <f aca="false">IF(OR($O87="N/A",$L87="N/A"),"N/A",$O87*$L87)</f>
        <v>N/A</v>
      </c>
      <c r="Q87" s="283" t="n">
        <f aca="false">IF(M87="TRUE",1,0)</f>
        <v>0</v>
      </c>
      <c r="R87" s="283" t="n">
        <f aca="false">R86+Q87</f>
        <v>0</v>
      </c>
      <c r="S87" s="283" t="n">
        <f aca="false">IF(Q87=0,0,R87)</f>
        <v>0</v>
      </c>
      <c r="T87" s="283" t="n">
        <f aca="false">IF(N87=1,1,0)</f>
        <v>0</v>
      </c>
      <c r="U87" s="283" t="n">
        <f aca="false">U86+T87</f>
        <v>31</v>
      </c>
      <c r="V87" s="283" t="n">
        <f aca="false">IF(T87=0,0,U87)</f>
        <v>0</v>
      </c>
    </row>
    <row r="88" customFormat="false" ht="52.2" hidden="false" customHeight="false" outlineLevel="0" collapsed="false">
      <c r="A88" s="311" t="str">
        <f aca="false">Questions!$A88</f>
        <v>AAAI-11</v>
      </c>
      <c r="B88" s="311" t="str">
        <f aca="false">LEFT(A88,4)</f>
        <v>AAAI</v>
      </c>
      <c r="C88" s="311" t="str">
        <f aca="false">VLOOKUP($A88,Questions!$A$3:$L$333,2,0)&amp;""</f>
        <v>Can you provide the institution documentation regarding the retention period for those logs, how logs are protected, and whether they are accessible to the customer (and if so, how)?*</v>
      </c>
      <c r="D88" s="311" t="str">
        <f aca="false">VLOOKUP($A88,Questions!$A$3:$L$333,11,0)&amp;""</f>
        <v/>
      </c>
      <c r="E88" s="311" t="str">
        <f aca="false">VLOOKUP($A88,Questions!$A$3:$L$333,12,0)&amp;""</f>
        <v>Product</v>
      </c>
      <c r="F88" s="311" t="str">
        <f aca="false">VLOOKUP($A88,'Institution Evaluation'!$A$56:$K$346,3,0)&amp;""</f>
        <v/>
      </c>
      <c r="G88" s="311" t="str">
        <f aca="false">VLOOKUP($A88,'Institution Evaluation'!$A$56:$K$346,7,0)&amp;""</f>
        <v>Yes</v>
      </c>
      <c r="H88" s="311" t="str">
        <f aca="false">VLOOKUP($A88,'Institution Evaluation'!$A$56:$K$346,8,0)&amp;""</f>
        <v/>
      </c>
      <c r="I88" s="311" t="str">
        <f aca="false">VLOOKUP($A88,'Institution Evaluation'!$A$56:$K$346,9,0)&amp;""</f>
        <v>Critical Importance</v>
      </c>
      <c r="J88" s="311" t="str">
        <f aca="false">VLOOKUP($A88,'Institution Evaluation'!$A$56:$K$346,10,0)&amp;""</f>
        <v/>
      </c>
      <c r="K88" s="311" t="n">
        <f aca="false">IF($I88="Critical Importance",20,IF($I88="Minor Importance",5,10))</f>
        <v>20</v>
      </c>
      <c r="L88" s="283" t="n">
        <f aca="false">IF($E88="Not Scored", "N/A",IF(AND($D88='Auto Responses'!$J$27,$H88=""),"N/A",IF(AND($D88='Auto Responses'!$J$27,$H88='Auto Responses'!$J$7),1,IF(AND($D88='Auto Responses'!$J$27,$H88='Auto Responses'!$J$8),0,IF(OR($F88=$G88,$H88='Auto Responses'!$J$7),1,0)))))</f>
        <v>0</v>
      </c>
      <c r="M88" s="311" t="str">
        <f aca="false">VLOOKUP($A88,'Institution Evaluation'!$A$56:$K$346,10,0)&amp;""</f>
        <v/>
      </c>
      <c r="N88" s="311" t="n">
        <f aca="false">IF($J88="Critical Importance",1,IF(AND($J88="",$I88="Critical Importance"),1,0))</f>
        <v>1</v>
      </c>
      <c r="O88" s="283" t="n">
        <f aca="false">IF($E88="Not Scored","N/A",IF($J88="",$K88,IF($J88="Minor Importance",5,IF($J88="Standard Importance",10,IF($J88="Critical Importance",20,0)))))</f>
        <v>20</v>
      </c>
      <c r="P88" s="283" t="n">
        <f aca="false">IF(OR($O88="N/A",$L88="N/A"),"N/A",$O88*$L88)</f>
        <v>0</v>
      </c>
      <c r="Q88" s="283" t="n">
        <f aca="false">IF(M88="TRUE",1,0)</f>
        <v>0</v>
      </c>
      <c r="R88" s="283" t="n">
        <f aca="false">R87+Q88</f>
        <v>0</v>
      </c>
      <c r="S88" s="283" t="n">
        <f aca="false">IF(Q88=0,0,R88)</f>
        <v>0</v>
      </c>
      <c r="T88" s="283" t="n">
        <f aca="false">IF(N88=1,1,0)</f>
        <v>1</v>
      </c>
      <c r="U88" s="283" t="n">
        <f aca="false">U87+T88</f>
        <v>32</v>
      </c>
      <c r="V88" s="283" t="n">
        <f aca="false">IF(T88=0,0,U88)</f>
        <v>32</v>
      </c>
    </row>
    <row r="89" customFormat="false" ht="39.55" hidden="false" customHeight="false" outlineLevel="0" collapsed="false">
      <c r="A89" s="311" t="str">
        <f aca="false">Questions!$A89</f>
        <v>AAAI-12</v>
      </c>
      <c r="B89" s="311" t="str">
        <f aca="false">LEFT(A89,4)</f>
        <v>AAAI</v>
      </c>
      <c r="C89" s="311" t="str">
        <f aca="false">VLOOKUP($A89,Questions!$A$3:$L$333,2,0)&amp;""</f>
        <v>For customers not using SSO, does your application support integration with other authentication and authorization systems?</v>
      </c>
      <c r="D89" s="311" t="str">
        <f aca="false">VLOOKUP($A89,Questions!$A$3:$L$333,11,0)&amp;""</f>
        <v/>
      </c>
      <c r="E89" s="311" t="str">
        <f aca="false">VLOOKUP($A89,Questions!$A$3:$L$333,12,0)&amp;""</f>
        <v>Product</v>
      </c>
      <c r="F89" s="311" t="str">
        <f aca="false">VLOOKUP($A89,'Institution Evaluation'!$A$56:$K$346,3,0)&amp;""</f>
        <v/>
      </c>
      <c r="G89" s="311" t="str">
        <f aca="false">VLOOKUP($A89,'Institution Evaluation'!$A$56:$K$346,7,0)&amp;""</f>
        <v>Yes</v>
      </c>
      <c r="H89" s="311" t="str">
        <f aca="false">VLOOKUP($A89,'Institution Evaluation'!$A$56:$K$346,8,0)&amp;""</f>
        <v/>
      </c>
      <c r="I89" s="311" t="str">
        <f aca="false">VLOOKUP($A89,'Institution Evaluation'!$A$56:$K$346,9,0)&amp;""</f>
        <v>Standard Importance</v>
      </c>
      <c r="J89" s="311" t="str">
        <f aca="false">VLOOKUP($A89,'Institution Evaluation'!$A$56:$K$346,10,0)&amp;""</f>
        <v/>
      </c>
      <c r="K89" s="311" t="n">
        <f aca="false">IF($I89="Critical Importance",20,IF($I89="Minor Importance",5,10))</f>
        <v>10</v>
      </c>
      <c r="L89" s="283" t="n">
        <f aca="false">IF($E89="Not Scored", "N/A",IF(AND($D89='Auto Responses'!$J$27,$H89=""),"N/A",IF(AND($D89='Auto Responses'!$J$27,$H89='Auto Responses'!$J$7),1,IF(AND($D89='Auto Responses'!$J$27,$H89='Auto Responses'!$J$8),0,IF(OR($F89=$G89,$H89='Auto Responses'!$J$7),1,0)))))</f>
        <v>0</v>
      </c>
      <c r="M89" s="311" t="str">
        <f aca="false">VLOOKUP($A89,'Institution Evaluation'!$A$56:$K$346,10,0)&amp;""</f>
        <v/>
      </c>
      <c r="N89" s="311" t="n">
        <f aca="false">IF($J89="Critical Importance",1,IF(AND($J89="",$I89="Critical Importance"),1,0))</f>
        <v>0</v>
      </c>
      <c r="O89" s="283" t="n">
        <f aca="false">IF($E89="Not Scored","N/A",IF($J89="",$K89,IF($J89="Minor Importance",5,IF($J89="Standard Importance",10,IF($J89="Critical Importance",20,0)))))</f>
        <v>10</v>
      </c>
      <c r="P89" s="283" t="n">
        <f aca="false">IF(OR($O89="N/A",$L89="N/A"),"N/A",$O89*$L89)</f>
        <v>0</v>
      </c>
      <c r="Q89" s="283" t="n">
        <f aca="false">IF(M89="TRUE",1,0)</f>
        <v>0</v>
      </c>
      <c r="R89" s="283" t="n">
        <f aca="false">R88+Q89</f>
        <v>0</v>
      </c>
      <c r="S89" s="283" t="n">
        <f aca="false">IF(Q89=0,0,R89)</f>
        <v>0</v>
      </c>
      <c r="T89" s="283" t="n">
        <f aca="false">IF(N89=1,1,0)</f>
        <v>0</v>
      </c>
      <c r="U89" s="283" t="n">
        <f aca="false">U88+T89</f>
        <v>32</v>
      </c>
      <c r="V89" s="283" t="n">
        <f aca="false">IF(T89=0,0,U89)</f>
        <v>0</v>
      </c>
    </row>
    <row r="90" customFormat="false" ht="52.2" hidden="false" customHeight="false" outlineLevel="0" collapsed="false">
      <c r="A90" s="311" t="str">
        <f aca="false">Questions!$A90</f>
        <v>AAAI-13</v>
      </c>
      <c r="B90" s="311" t="str">
        <f aca="false">LEFT(A90,4)</f>
        <v>AAAI</v>
      </c>
      <c r="C90" s="311" t="str">
        <f aca="false">VLOOKUP($A90,Questions!$A$3:$L$333,2,0)&amp;""</f>
        <v>Do you allow the customer to specify attribute mappings for any needed information beyond a user identifier? (e.g., Reference eduPerson, ePPA/ePPN/ePE)</v>
      </c>
      <c r="D90" s="311" t="str">
        <f aca="false">VLOOKUP($A90,Questions!$A$3:$L$333,11,0)&amp;""</f>
        <v/>
      </c>
      <c r="E90" s="311" t="str">
        <f aca="false">VLOOKUP($A90,Questions!$A$3:$L$333,12,0)&amp;""</f>
        <v>Product</v>
      </c>
      <c r="F90" s="311" t="str">
        <f aca="false">VLOOKUP($A90,'Institution Evaluation'!$A$56:$K$346,3,0)&amp;""</f>
        <v/>
      </c>
      <c r="G90" s="311" t="str">
        <f aca="false">VLOOKUP($A90,'Institution Evaluation'!$A$56:$K$346,7,0)&amp;""</f>
        <v>Yes</v>
      </c>
      <c r="H90" s="311" t="str">
        <f aca="false">VLOOKUP($A90,'Institution Evaluation'!$A$56:$K$346,8,0)&amp;""</f>
        <v/>
      </c>
      <c r="I90" s="311" t="str">
        <f aca="false">VLOOKUP($A90,'Institution Evaluation'!$A$56:$K$346,9,0)&amp;""</f>
        <v>Standard Importance</v>
      </c>
      <c r="J90" s="311" t="str">
        <f aca="false">VLOOKUP($A90,'Institution Evaluation'!$A$56:$K$346,10,0)&amp;""</f>
        <v/>
      </c>
      <c r="K90" s="311" t="n">
        <f aca="false">IF($I90="Critical Importance",20,IF($I90="Minor Importance",5,10))</f>
        <v>10</v>
      </c>
      <c r="L90" s="283" t="n">
        <f aca="false">IF($E90="Not Scored", "N/A",IF(AND($D90='Auto Responses'!$J$27,$H90=""),"N/A",IF(AND($D90='Auto Responses'!$J$27,$H90='Auto Responses'!$J$7),1,IF(AND($D90='Auto Responses'!$J$27,$H90='Auto Responses'!$J$8),0,IF(OR($F90=$G90,$H90='Auto Responses'!$J$7),1,0)))))</f>
        <v>0</v>
      </c>
      <c r="M90" s="311" t="str">
        <f aca="false">VLOOKUP($A90,'Institution Evaluation'!$A$56:$K$346,10,0)&amp;""</f>
        <v/>
      </c>
      <c r="N90" s="311" t="n">
        <f aca="false">IF($J90="Critical Importance",1,IF(AND($J90="",$I90="Critical Importance"),1,0))</f>
        <v>0</v>
      </c>
      <c r="O90" s="283" t="n">
        <f aca="false">IF($E90="Not Scored","N/A",IF($J90="",$K90,IF($J90="Minor Importance",5,IF($J90="Standard Importance",10,IF($J90="Critical Importance",20,0)))))</f>
        <v>10</v>
      </c>
      <c r="P90" s="283" t="n">
        <f aca="false">IF(OR($O90="N/A",$L90="N/A"),"N/A",$O90*$L90)</f>
        <v>0</v>
      </c>
      <c r="Q90" s="283" t="n">
        <f aca="false">IF(M90="TRUE",1,0)</f>
        <v>0</v>
      </c>
      <c r="R90" s="283" t="n">
        <f aca="false">R89+Q90</f>
        <v>0</v>
      </c>
      <c r="S90" s="283" t="n">
        <f aca="false">IF(Q90=0,0,R90)</f>
        <v>0</v>
      </c>
      <c r="T90" s="283" t="n">
        <f aca="false">IF(N90=1,1,0)</f>
        <v>0</v>
      </c>
      <c r="U90" s="283" t="n">
        <f aca="false">U89+T90</f>
        <v>32</v>
      </c>
      <c r="V90" s="283" t="n">
        <f aca="false">IF(T90=0,0,U90)</f>
        <v>0</v>
      </c>
    </row>
    <row r="91" customFormat="false" ht="39.55" hidden="false" customHeight="false" outlineLevel="0" collapsed="false">
      <c r="A91" s="311" t="str">
        <f aca="false">Questions!$A91</f>
        <v>AAAI-14</v>
      </c>
      <c r="B91" s="311" t="str">
        <f aca="false">LEFT(A91,4)</f>
        <v>AAAI</v>
      </c>
      <c r="C91" s="311" t="str">
        <f aca="false">VLOOKUP($A91,Questions!$A$3:$L$333,2,0)&amp;""</f>
        <v>For customers not using SSO, does your application support directory integration for user accounts?</v>
      </c>
      <c r="D91" s="311" t="str">
        <f aca="false">VLOOKUP($A91,Questions!$A$3:$L$333,11,0)&amp;""</f>
        <v/>
      </c>
      <c r="E91" s="311" t="str">
        <f aca="false">VLOOKUP($A91,Questions!$A$3:$L$333,12,0)&amp;""</f>
        <v>Product</v>
      </c>
      <c r="F91" s="311" t="str">
        <f aca="false">VLOOKUP($A91,'Institution Evaluation'!$A$56:$K$346,3,0)&amp;""</f>
        <v/>
      </c>
      <c r="G91" s="311" t="str">
        <f aca="false">VLOOKUP($A91,'Institution Evaluation'!$A$56:$K$346,7,0)&amp;""</f>
        <v>Yes</v>
      </c>
      <c r="H91" s="311" t="str">
        <f aca="false">VLOOKUP($A91,'Institution Evaluation'!$A$56:$K$346,8,0)&amp;""</f>
        <v/>
      </c>
      <c r="I91" s="311" t="str">
        <f aca="false">VLOOKUP($A91,'Institution Evaluation'!$A$56:$K$346,9,0)&amp;""</f>
        <v>Standard Importance</v>
      </c>
      <c r="J91" s="311" t="str">
        <f aca="false">VLOOKUP($A91,'Institution Evaluation'!$A$56:$K$346,10,0)&amp;""</f>
        <v/>
      </c>
      <c r="K91" s="311" t="n">
        <f aca="false">IF($I91="Critical Importance",20,IF($I91="Minor Importance",5,10))</f>
        <v>10</v>
      </c>
      <c r="L91" s="283" t="n">
        <f aca="false">IF($E91="Not Scored", "N/A",IF(AND($D91='Auto Responses'!$J$27,$H91=""),"N/A",IF(AND($D91='Auto Responses'!$J$27,$H91='Auto Responses'!$J$7),1,IF(AND($D91='Auto Responses'!$J$27,$H91='Auto Responses'!$J$8),0,IF(OR($F91=$G91,$H91='Auto Responses'!$J$7),1,0)))))</f>
        <v>0</v>
      </c>
      <c r="M91" s="311" t="str">
        <f aca="false">VLOOKUP($A91,'Institution Evaluation'!$A$56:$K$346,10,0)&amp;""</f>
        <v/>
      </c>
      <c r="N91" s="311" t="n">
        <f aca="false">IF($J91="Critical Importance",1,IF(AND($J91="",$I91="Critical Importance"),1,0))</f>
        <v>0</v>
      </c>
      <c r="O91" s="283" t="n">
        <f aca="false">IF($E91="Not Scored","N/A",IF($J91="",$K91,IF($J91="Minor Importance",5,IF($J91="Standard Importance",10,IF($J91="Critical Importance",20,0)))))</f>
        <v>10</v>
      </c>
      <c r="P91" s="283" t="n">
        <f aca="false">IF(OR($O91="N/A",$L91="N/A"),"N/A",$O91*$L91)</f>
        <v>0</v>
      </c>
      <c r="Q91" s="283" t="n">
        <f aca="false">IF(M91="TRUE",1,0)</f>
        <v>0</v>
      </c>
      <c r="R91" s="283" t="n">
        <f aca="false">R90+Q91</f>
        <v>0</v>
      </c>
      <c r="S91" s="283" t="n">
        <f aca="false">IF(Q91=0,0,R91)</f>
        <v>0</v>
      </c>
      <c r="T91" s="283" t="n">
        <f aca="false">IF(N91=1,1,0)</f>
        <v>0</v>
      </c>
      <c r="U91" s="283" t="n">
        <f aca="false">U90+T91</f>
        <v>32</v>
      </c>
      <c r="V91" s="283" t="n">
        <f aca="false">IF(T91=0,0,U91)</f>
        <v>0</v>
      </c>
    </row>
    <row r="92" customFormat="false" ht="39.55" hidden="false" customHeight="false" outlineLevel="0" collapsed="false">
      <c r="A92" s="311" t="str">
        <f aca="false">Questions!$A92</f>
        <v>AAAI-15</v>
      </c>
      <c r="B92" s="311" t="str">
        <f aca="false">LEFT(A92,4)</f>
        <v>AAAI</v>
      </c>
      <c r="C92" s="311" t="str">
        <f aca="false">VLOOKUP($A92,Questions!$A$3:$L$333,2,0)&amp;""</f>
        <v>Does your solution support any of the following web SSO standards: SAML2 (with redirect flow), OIDC, CAS, or other?</v>
      </c>
      <c r="D92" s="311" t="str">
        <f aca="false">VLOOKUP($A92,Questions!$A$3:$L$333,11,0)&amp;""</f>
        <v/>
      </c>
      <c r="E92" s="311" t="str">
        <f aca="false">VLOOKUP($A92,Questions!$A$3:$L$333,12,0)&amp;""</f>
        <v>Product</v>
      </c>
      <c r="F92" s="311" t="str">
        <f aca="false">VLOOKUP($A92,'Institution Evaluation'!$A$56:$K$346,3,0)&amp;""</f>
        <v/>
      </c>
      <c r="G92" s="311" t="str">
        <f aca="false">VLOOKUP($A92,'Institution Evaluation'!$A$56:$K$346,7,0)&amp;""</f>
        <v>Yes</v>
      </c>
      <c r="H92" s="311" t="str">
        <f aca="false">VLOOKUP($A92,'Institution Evaluation'!$A$56:$K$346,8,0)&amp;""</f>
        <v/>
      </c>
      <c r="I92" s="311" t="str">
        <f aca="false">VLOOKUP($A92,'Institution Evaluation'!$A$56:$K$346,9,0)&amp;""</f>
        <v>Minor Importance</v>
      </c>
      <c r="J92" s="311" t="str">
        <f aca="false">VLOOKUP($A92,'Institution Evaluation'!$A$56:$K$346,10,0)&amp;""</f>
        <v/>
      </c>
      <c r="K92" s="311" t="n">
        <f aca="false">IF($I92="Critical Importance",20,IF($I92="Minor Importance",5,10))</f>
        <v>5</v>
      </c>
      <c r="L92" s="283" t="n">
        <f aca="false">IF($E92="Not Scored", "N/A",IF(AND($D92='Auto Responses'!$J$27,$H92=""),"N/A",IF(AND($D92='Auto Responses'!$J$27,$H92='Auto Responses'!$J$7),1,IF(AND($D92='Auto Responses'!$J$27,$H92='Auto Responses'!$J$8),0,IF(OR($F92=$G92,$H92='Auto Responses'!$J$7),1,0)))))</f>
        <v>0</v>
      </c>
      <c r="M92" s="311" t="str">
        <f aca="false">VLOOKUP($A92,'Institution Evaluation'!$A$56:$K$346,10,0)&amp;""</f>
        <v/>
      </c>
      <c r="N92" s="311" t="n">
        <f aca="false">IF($J92="Critical Importance",1,IF(AND($J92="",$I92="Critical Importance"),1,0))</f>
        <v>0</v>
      </c>
      <c r="O92" s="283" t="n">
        <f aca="false">IF($E92="Not Scored","N/A",IF($J92="",$K92,IF($J92="Minor Importance",5,IF($J92="Standard Importance",10,IF($J92="Critical Importance",20,0)))))</f>
        <v>5</v>
      </c>
      <c r="P92" s="283" t="n">
        <f aca="false">IF(OR($O92="N/A",$L92="N/A"),"N/A",$O92*$L92)</f>
        <v>0</v>
      </c>
      <c r="Q92" s="283" t="n">
        <f aca="false">IF(M92="TRUE",1,0)</f>
        <v>0</v>
      </c>
      <c r="R92" s="283" t="n">
        <f aca="false">R91+Q92</f>
        <v>0</v>
      </c>
      <c r="S92" s="283" t="n">
        <f aca="false">IF(Q92=0,0,R92)</f>
        <v>0</v>
      </c>
      <c r="T92" s="283" t="n">
        <f aca="false">IF(N92=1,1,0)</f>
        <v>0</v>
      </c>
      <c r="U92" s="283" t="n">
        <f aca="false">U91+T92</f>
        <v>32</v>
      </c>
      <c r="V92" s="283" t="n">
        <f aca="false">IF(T92=0,0,U92)</f>
        <v>0</v>
      </c>
    </row>
    <row r="93" customFormat="false" ht="26.85" hidden="false" customHeight="false" outlineLevel="0" collapsed="false">
      <c r="A93" s="311" t="str">
        <f aca="false">Questions!$A93</f>
        <v>AAAI-16</v>
      </c>
      <c r="B93" s="311" t="str">
        <f aca="false">LEFT(A93,4)</f>
        <v>AAAI</v>
      </c>
      <c r="C93" s="311" t="str">
        <f aca="false">VLOOKUP($A93,Questions!$A$3:$L$333,2,0)&amp;""</f>
        <v>Do you support differentiation between email address and user identifier?</v>
      </c>
      <c r="D93" s="311" t="str">
        <f aca="false">VLOOKUP($A93,Questions!$A$3:$L$333,11,0)&amp;""</f>
        <v/>
      </c>
      <c r="E93" s="311" t="str">
        <f aca="false">VLOOKUP($A93,Questions!$A$3:$L$333,12,0)&amp;""</f>
        <v>Product</v>
      </c>
      <c r="F93" s="311" t="str">
        <f aca="false">VLOOKUP($A93,'Institution Evaluation'!$A$56:$K$346,3,0)&amp;""</f>
        <v/>
      </c>
      <c r="G93" s="311" t="str">
        <f aca="false">VLOOKUP($A93,'Institution Evaluation'!$A$56:$K$346,7,0)&amp;""</f>
        <v>Yes</v>
      </c>
      <c r="H93" s="311" t="str">
        <f aca="false">VLOOKUP($A93,'Institution Evaluation'!$A$56:$K$346,8,0)&amp;""</f>
        <v/>
      </c>
      <c r="I93" s="311" t="str">
        <f aca="false">VLOOKUP($A93,'Institution Evaluation'!$A$56:$K$346,9,0)&amp;""</f>
        <v>Minor Importance</v>
      </c>
      <c r="J93" s="311" t="str">
        <f aca="false">VLOOKUP($A93,'Institution Evaluation'!$A$56:$K$346,10,0)&amp;""</f>
        <v/>
      </c>
      <c r="K93" s="311" t="n">
        <f aca="false">IF($I93="Critical Importance",20,IF($I93="Minor Importance",5,10))</f>
        <v>5</v>
      </c>
      <c r="L93" s="283" t="n">
        <f aca="false">IF($E93="Not Scored", "N/A",IF(AND($D93='Auto Responses'!$J$27,$H93=""),"N/A",IF(AND($D93='Auto Responses'!$J$27,$H93='Auto Responses'!$J$7),1,IF(AND($D93='Auto Responses'!$J$27,$H93='Auto Responses'!$J$8),0,IF(OR($F93=$G93,$H93='Auto Responses'!$J$7),1,0)))))</f>
        <v>0</v>
      </c>
      <c r="M93" s="311" t="str">
        <f aca="false">VLOOKUP($A93,'Institution Evaluation'!$A$56:$K$346,10,0)&amp;""</f>
        <v/>
      </c>
      <c r="N93" s="311" t="n">
        <f aca="false">IF($J93="Critical Importance",1,IF(AND($J93="",$I93="Critical Importance"),1,0))</f>
        <v>0</v>
      </c>
      <c r="O93" s="283" t="n">
        <f aca="false">IF($E93="Not Scored","N/A",IF($J93="",$K93,IF($J93="Minor Importance",5,IF($J93="Standard Importance",10,IF($J93="Critical Importance",20,0)))))</f>
        <v>5</v>
      </c>
      <c r="P93" s="283" t="n">
        <f aca="false">IF(OR($O93="N/A",$L93="N/A"),"N/A",$O93*$L93)</f>
        <v>0</v>
      </c>
      <c r="Q93" s="283" t="n">
        <f aca="false">IF(M93="TRUE",1,0)</f>
        <v>0</v>
      </c>
      <c r="R93" s="283" t="n">
        <f aca="false">R92+Q93</f>
        <v>0</v>
      </c>
      <c r="S93" s="283" t="n">
        <f aca="false">IF(Q93=0,0,R93)</f>
        <v>0</v>
      </c>
      <c r="T93" s="283" t="n">
        <f aca="false">IF(N93=1,1,0)</f>
        <v>0</v>
      </c>
      <c r="U93" s="283" t="n">
        <f aca="false">U92+T93</f>
        <v>32</v>
      </c>
      <c r="V93" s="283" t="n">
        <f aca="false">IF(T93=0,0,U93)</f>
        <v>0</v>
      </c>
    </row>
    <row r="94" customFormat="false" ht="52.2" hidden="false" customHeight="false" outlineLevel="0" collapsed="false">
      <c r="A94" s="311" t="str">
        <f aca="false">Questions!$A94</f>
        <v>AAAI-17</v>
      </c>
      <c r="B94" s="311" t="str">
        <f aca="false">LEFT(A94,4)</f>
        <v>AAAI</v>
      </c>
      <c r="C94" s="311" t="str">
        <f aca="false">VLOOKUP($A94,Questions!$A$3:$L$333,2,0)&amp;""</f>
        <v>For customers not using SSO, does your application and/or user frontend/portal support multifactor authentication (e.g., Duo, Google Authenticator, OTP, etc.)?</v>
      </c>
      <c r="D94" s="311" t="str">
        <f aca="false">VLOOKUP($A94,Questions!$A$3:$L$333,11,0)&amp;""</f>
        <v/>
      </c>
      <c r="E94" s="311" t="str">
        <f aca="false">VLOOKUP($A94,Questions!$A$3:$L$333,12,0)&amp;""</f>
        <v>Product</v>
      </c>
      <c r="F94" s="311" t="str">
        <f aca="false">VLOOKUP($A94,'Institution Evaluation'!$A$56:$K$346,3,0)&amp;""</f>
        <v/>
      </c>
      <c r="G94" s="311" t="str">
        <f aca="false">VLOOKUP($A94,'Institution Evaluation'!$A$56:$K$346,7,0)&amp;""</f>
        <v>Yes</v>
      </c>
      <c r="H94" s="311" t="str">
        <f aca="false">VLOOKUP($A94,'Institution Evaluation'!$A$56:$K$346,8,0)&amp;""</f>
        <v/>
      </c>
      <c r="I94" s="311" t="str">
        <f aca="false">VLOOKUP($A94,'Institution Evaluation'!$A$56:$K$346,9,0)&amp;""</f>
        <v>Minor Importance</v>
      </c>
      <c r="J94" s="311" t="str">
        <f aca="false">VLOOKUP($A94,'Institution Evaluation'!$A$56:$K$346,10,0)&amp;""</f>
        <v/>
      </c>
      <c r="K94" s="311" t="n">
        <f aca="false">IF($I94="Critical Importance",20,IF($I94="Minor Importance",5,10))</f>
        <v>5</v>
      </c>
      <c r="L94" s="283" t="n">
        <f aca="false">IF($E94="Not Scored", "N/A",IF(AND($D94='Auto Responses'!$J$27,$H94=""),"N/A",IF(AND($D94='Auto Responses'!$J$27,$H94='Auto Responses'!$J$7),1,IF(AND($D94='Auto Responses'!$J$27,$H94='Auto Responses'!$J$8),0,IF(OR($F94=$G94,$H94='Auto Responses'!$J$7),1,0)))))</f>
        <v>0</v>
      </c>
      <c r="M94" s="311" t="str">
        <f aca="false">VLOOKUP($A94,'Institution Evaluation'!$A$56:$K$346,10,0)&amp;""</f>
        <v/>
      </c>
      <c r="N94" s="311" t="n">
        <f aca="false">IF($J94="Critical Importance",1,IF(AND($J94="",$I94="Critical Importance"),1,0))</f>
        <v>0</v>
      </c>
      <c r="O94" s="283" t="n">
        <f aca="false">IF($E94="Not Scored","N/A",IF($J94="",$K94,IF($J94="Minor Importance",5,IF($J94="Standard Importance",10,IF($J94="Critical Importance",20,0)))))</f>
        <v>5</v>
      </c>
      <c r="P94" s="283" t="n">
        <f aca="false">IF(OR($O94="N/A",$L94="N/A"),"N/A",$O94*$L94)</f>
        <v>0</v>
      </c>
      <c r="Q94" s="283" t="n">
        <f aca="false">IF(M94="TRUE",1,0)</f>
        <v>0</v>
      </c>
      <c r="R94" s="283" t="n">
        <f aca="false">R93+Q94</f>
        <v>0</v>
      </c>
      <c r="S94" s="283" t="n">
        <f aca="false">IF(Q94=0,0,R94)</f>
        <v>0</v>
      </c>
      <c r="T94" s="283" t="n">
        <f aca="false">IF(N94=1,1,0)</f>
        <v>0</v>
      </c>
      <c r="U94" s="283" t="n">
        <f aca="false">U93+T94</f>
        <v>32</v>
      </c>
      <c r="V94" s="283" t="n">
        <f aca="false">IF(T94=0,0,U94)</f>
        <v>0</v>
      </c>
    </row>
    <row r="95" customFormat="false" ht="39.55" hidden="false" customHeight="false" outlineLevel="0" collapsed="false">
      <c r="A95" s="311" t="str">
        <f aca="false">Questions!$A95</f>
        <v>AAAI-18</v>
      </c>
      <c r="B95" s="311" t="str">
        <f aca="false">LEFT(A95,4)</f>
        <v>AAAI</v>
      </c>
      <c r="C95" s="311" t="str">
        <f aca="false">VLOOKUP($A95,Questions!$A$3:$L$333,2,0)&amp;""</f>
        <v>Does your application automatically lock the session or log out an account after a period of inactivity?</v>
      </c>
      <c r="D95" s="311" t="str">
        <f aca="false">VLOOKUP($A95,Questions!$A$3:$L$333,11,0)&amp;""</f>
        <v/>
      </c>
      <c r="E95" s="311" t="str">
        <f aca="false">VLOOKUP($A95,Questions!$A$3:$L$333,12,0)&amp;""</f>
        <v>Product</v>
      </c>
      <c r="F95" s="311" t="str">
        <f aca="false">VLOOKUP($A95,'Institution Evaluation'!$A$56:$K$346,3,0)&amp;""</f>
        <v/>
      </c>
      <c r="G95" s="311" t="str">
        <f aca="false">VLOOKUP($A95,'Institution Evaluation'!$A$56:$K$346,7,0)&amp;""</f>
        <v>Yes</v>
      </c>
      <c r="H95" s="311" t="str">
        <f aca="false">VLOOKUP($A95,'Institution Evaluation'!$A$56:$K$346,8,0)&amp;""</f>
        <v/>
      </c>
      <c r="I95" s="311" t="str">
        <f aca="false">VLOOKUP($A95,'Institution Evaluation'!$A$56:$K$346,9,0)&amp;""</f>
        <v>Minor Importance</v>
      </c>
      <c r="J95" s="311" t="str">
        <f aca="false">VLOOKUP($A95,'Institution Evaluation'!$A$56:$K$346,10,0)&amp;""</f>
        <v/>
      </c>
      <c r="K95" s="311" t="n">
        <f aca="false">IF($I95="Critical Importance",20,IF($I95="Minor Importance",5,10))</f>
        <v>5</v>
      </c>
      <c r="L95" s="283" t="n">
        <f aca="false">IF($E95="Not Scored", "N/A",IF(AND($D95='Auto Responses'!$J$27,$H95=""),"N/A",IF(AND($D95='Auto Responses'!$J$27,$H95='Auto Responses'!$J$7),1,IF(AND($D95='Auto Responses'!$J$27,$H95='Auto Responses'!$J$8),0,IF(OR($F95=$G95,$H95='Auto Responses'!$J$7),1,0)))))</f>
        <v>0</v>
      </c>
      <c r="M95" s="311" t="str">
        <f aca="false">VLOOKUP($A95,'Institution Evaluation'!$A$56:$K$346,10,0)&amp;""</f>
        <v/>
      </c>
      <c r="N95" s="311" t="n">
        <f aca="false">IF($J95="Critical Importance",1,IF(AND($J95="",$I95="Critical Importance"),1,0))</f>
        <v>0</v>
      </c>
      <c r="O95" s="283" t="n">
        <f aca="false">IF($E95="Not Scored","N/A",IF($J95="",$K95,IF($J95="Minor Importance",5,IF($J95="Standard Importance",10,IF($J95="Critical Importance",20,0)))))</f>
        <v>5</v>
      </c>
      <c r="P95" s="283" t="n">
        <f aca="false">IF(OR($O95="N/A",$L95="N/A"),"N/A",$O95*$L95)</f>
        <v>0</v>
      </c>
      <c r="Q95" s="283" t="n">
        <f aca="false">IF(M95="TRUE",1,0)</f>
        <v>0</v>
      </c>
      <c r="R95" s="283" t="n">
        <f aca="false">R94+Q95</f>
        <v>0</v>
      </c>
      <c r="S95" s="283" t="n">
        <f aca="false">IF(Q95=0,0,R95)</f>
        <v>0</v>
      </c>
      <c r="T95" s="283" t="n">
        <f aca="false">IF(N95=1,1,0)</f>
        <v>0</v>
      </c>
      <c r="U95" s="283" t="n">
        <f aca="false">U94+T95</f>
        <v>32</v>
      </c>
      <c r="V95" s="283" t="n">
        <f aca="false">IF(T95=0,0,U95)</f>
        <v>0</v>
      </c>
    </row>
    <row r="96" customFormat="false" ht="39.55" hidden="false" customHeight="false" outlineLevel="0" collapsed="false">
      <c r="A96" s="311" t="str">
        <f aca="false">Questions!$A96</f>
        <v>CHNG-01</v>
      </c>
      <c r="B96" s="311" t="str">
        <f aca="false">LEFT(A96,4)</f>
        <v>CHNG</v>
      </c>
      <c r="C96" s="311" t="str">
        <f aca="false">VLOOKUP($A96,Questions!$A$3:$L$333,2,0)&amp;""</f>
        <v>Will the institution be notified of major changes to your environment that could impact the institution's security posture?*</v>
      </c>
      <c r="D96" s="311" t="str">
        <f aca="false">VLOOKUP($A96,Questions!$A$3:$L$333,11,0)&amp;""</f>
        <v/>
      </c>
      <c r="E96" s="311" t="str">
        <f aca="false">VLOOKUP($A96,Questions!$A$3:$L$333,12,0)&amp;""</f>
        <v>Organization</v>
      </c>
      <c r="F96" s="311" t="str">
        <f aca="false">VLOOKUP($A96,'Institution Evaluation'!$A$56:$K$346,3,0)&amp;""</f>
        <v>No</v>
      </c>
      <c r="G96" s="311" t="str">
        <f aca="false">VLOOKUP($A96,'Institution Evaluation'!$A$56:$K$346,7,0)&amp;""</f>
        <v>Yes</v>
      </c>
      <c r="H96" s="311" t="str">
        <f aca="false">VLOOKUP($A96,'Institution Evaluation'!$A$56:$K$346,8,0)&amp;""</f>
        <v/>
      </c>
      <c r="I96" s="311" t="str">
        <f aca="false">VLOOKUP($A96,'Institution Evaluation'!$A$56:$K$346,9,0)&amp;""</f>
        <v>Critical Importance</v>
      </c>
      <c r="J96" s="311" t="str">
        <f aca="false">VLOOKUP($A96,'Institution Evaluation'!$A$56:$K$346,10,0)&amp;""</f>
        <v/>
      </c>
      <c r="K96" s="311" t="n">
        <f aca="false">IF($I96="Critical Importance",20,IF($I96="Minor Importance",5,10))</f>
        <v>20</v>
      </c>
      <c r="L96" s="283" t="n">
        <f aca="false">IF($E96="Not Scored", "N/A",IF(AND($D96='Auto Responses'!$J$27,$H96=""),"N/A",IF(AND($D96='Auto Responses'!$J$27,$H96='Auto Responses'!$J$7),1,IF(AND($D96='Auto Responses'!$J$27,$H96='Auto Responses'!$J$8),0,IF(OR($F96=$G96,$H96='Auto Responses'!$J$7),1,0)))))</f>
        <v>0</v>
      </c>
      <c r="M96" s="311" t="str">
        <f aca="false">VLOOKUP($A96,'Institution Evaluation'!$A$56:$K$346,10,0)&amp;""</f>
        <v/>
      </c>
      <c r="N96" s="311" t="n">
        <f aca="false">IF($J96="Critical Importance",1,IF(AND($J96="",$I96="Critical Importance"),1,0))</f>
        <v>1</v>
      </c>
      <c r="O96" s="283" t="n">
        <f aca="false">IF($E96="Not Scored","N/A",IF($J96="",$K96,IF($J96="Minor Importance",5,IF($J96="Standard Importance",10,IF($J96="Critical Importance",20,0)))))</f>
        <v>20</v>
      </c>
      <c r="P96" s="283" t="n">
        <f aca="false">IF(OR($O96="N/A",$L96="N/A"),"N/A",$O96*$L96)</f>
        <v>0</v>
      </c>
      <c r="Q96" s="283" t="n">
        <f aca="false">IF(M96="TRUE",1,0)</f>
        <v>0</v>
      </c>
      <c r="R96" s="283" t="n">
        <f aca="false">R95+Q96</f>
        <v>0</v>
      </c>
      <c r="S96" s="283" t="n">
        <f aca="false">IF(Q96=0,0,R96)</f>
        <v>0</v>
      </c>
      <c r="T96" s="283" t="n">
        <f aca="false">IF(N96=1,1,0)</f>
        <v>1</v>
      </c>
      <c r="U96" s="283" t="n">
        <f aca="false">U95+T96</f>
        <v>33</v>
      </c>
      <c r="V96" s="283" t="n">
        <f aca="false">IF(T96=0,0,U96)</f>
        <v>33</v>
      </c>
    </row>
    <row r="97" customFormat="false" ht="26.85" hidden="false" customHeight="false" outlineLevel="0" collapsed="false">
      <c r="A97" s="311" t="str">
        <f aca="false">Questions!$A97</f>
        <v>CHNG-02</v>
      </c>
      <c r="B97" s="311" t="str">
        <f aca="false">LEFT(A97,4)</f>
        <v>CHNG</v>
      </c>
      <c r="C97" s="311" t="str">
        <f aca="false">VLOOKUP($A97,Questions!$A$3:$L$333,2,0)&amp;""</f>
        <v>Does the system support client customizations from one release to another?*</v>
      </c>
      <c r="D97" s="311" t="str">
        <f aca="false">VLOOKUP($A97,Questions!$A$3:$L$333,11,0)&amp;""</f>
        <v/>
      </c>
      <c r="E97" s="311" t="str">
        <f aca="false">VLOOKUP($A97,Questions!$A$3:$L$333,12,0)&amp;""</f>
        <v>Organization</v>
      </c>
      <c r="F97" s="311" t="str">
        <f aca="false">VLOOKUP($A97,'Institution Evaluation'!$A$56:$K$346,3,0)&amp;""</f>
        <v>yes</v>
      </c>
      <c r="G97" s="311" t="str">
        <f aca="false">VLOOKUP($A97,'Institution Evaluation'!$A$56:$K$346,7,0)&amp;""</f>
        <v>Yes</v>
      </c>
      <c r="H97" s="311" t="str">
        <f aca="false">VLOOKUP($A97,'Institution Evaluation'!$A$56:$K$346,8,0)&amp;""</f>
        <v/>
      </c>
      <c r="I97" s="311" t="str">
        <f aca="false">VLOOKUP($A97,'Institution Evaluation'!$A$56:$K$346,9,0)&amp;""</f>
        <v>Critical Importance</v>
      </c>
      <c r="J97" s="311" t="str">
        <f aca="false">VLOOKUP($A97,'Institution Evaluation'!$A$56:$K$346,10,0)&amp;""</f>
        <v/>
      </c>
      <c r="K97" s="311" t="n">
        <f aca="false">IF($I97="Critical Importance",20,IF($I97="Minor Importance",5,10))</f>
        <v>20</v>
      </c>
      <c r="L97" s="283" t="n">
        <f aca="false">IF($E97="Not Scored", "N/A",IF(AND($D97='Auto Responses'!$J$27,$H97=""),"N/A",IF(AND($D97='Auto Responses'!$J$27,$H97='Auto Responses'!$J$7),1,IF(AND($D97='Auto Responses'!$J$27,$H97='Auto Responses'!$J$8),0,IF(OR($F97=$G97,$H97='Auto Responses'!$J$7),1,0)))))</f>
        <v>1</v>
      </c>
      <c r="M97" s="311" t="str">
        <f aca="false">VLOOKUP($A97,'Institution Evaluation'!$A$56:$K$346,10,0)&amp;""</f>
        <v/>
      </c>
      <c r="N97" s="311" t="n">
        <f aca="false">IF($J97="Critical Importance",1,IF(AND($J97="",$I97="Critical Importance"),1,0))</f>
        <v>1</v>
      </c>
      <c r="O97" s="283" t="n">
        <f aca="false">IF(OR($E97="Not Scored",$F97="N/A"),"N/A",IF($J97="",$K97,IF($J97="Minor Importance",5,IF($J97="Standard Importance",10,IF($J97="Critical Importance",20,0)))))</f>
        <v>20</v>
      </c>
      <c r="P97" s="283" t="n">
        <f aca="false">IF(OR($O97="N/A",$L97="N/A"),"N/A",$O97*$L97)</f>
        <v>20</v>
      </c>
      <c r="Q97" s="283" t="n">
        <f aca="false">IF(M97="TRUE",1,0)</f>
        <v>0</v>
      </c>
      <c r="R97" s="283" t="n">
        <f aca="false">R96+Q97</f>
        <v>0</v>
      </c>
      <c r="S97" s="283" t="n">
        <f aca="false">IF(Q97=0,0,R97)</f>
        <v>0</v>
      </c>
      <c r="T97" s="283" t="n">
        <f aca="false">IF(N97=1,1,0)</f>
        <v>1</v>
      </c>
      <c r="U97" s="283" t="n">
        <f aca="false">U96+T97</f>
        <v>34</v>
      </c>
      <c r="V97" s="283" t="n">
        <f aca="false">IF(T97=0,0,U97)</f>
        <v>34</v>
      </c>
    </row>
    <row r="98" customFormat="false" ht="39.55" hidden="false" customHeight="false" outlineLevel="0" collapsed="false">
      <c r="A98" s="311" t="str">
        <f aca="false">Questions!$A98</f>
        <v>CHNG-03</v>
      </c>
      <c r="B98" s="311" t="str">
        <f aca="false">LEFT(A98,4)</f>
        <v>CHNG</v>
      </c>
      <c r="C98" s="311" t="str">
        <f aca="false">VLOOKUP($A98,Questions!$A$3:$L$333,2,0)&amp;""</f>
        <v>Do you have an implemented system configuration management process (e.g.,secure "gold" images, etc.)?*</v>
      </c>
      <c r="D98" s="311" t="str">
        <f aca="false">VLOOKUP($A98,Questions!$A$3:$L$333,11,0)&amp;""</f>
        <v/>
      </c>
      <c r="E98" s="311" t="str">
        <f aca="false">VLOOKUP($A98,Questions!$A$3:$L$333,12,0)&amp;""</f>
        <v>Organization</v>
      </c>
      <c r="F98" s="311" t="str">
        <f aca="false">VLOOKUP($A98,'Institution Evaluation'!$A$56:$K$346,3,0)&amp;""</f>
        <v>No</v>
      </c>
      <c r="G98" s="311" t="str">
        <f aca="false">VLOOKUP($A98,'Institution Evaluation'!$A$56:$K$346,7,0)&amp;""</f>
        <v>Yes</v>
      </c>
      <c r="H98" s="311" t="str">
        <f aca="false">VLOOKUP($A98,'Institution Evaluation'!$A$56:$K$346,8,0)&amp;""</f>
        <v/>
      </c>
      <c r="I98" s="311" t="str">
        <f aca="false">VLOOKUP($A98,'Institution Evaluation'!$A$56:$K$346,9,0)&amp;""</f>
        <v>Critical Importance</v>
      </c>
      <c r="J98" s="311" t="str">
        <f aca="false">VLOOKUP($A98,'Institution Evaluation'!$A$56:$K$346,10,0)&amp;""</f>
        <v/>
      </c>
      <c r="K98" s="311" t="n">
        <f aca="false">IF($I98="Critical Importance",20,IF($I98="Minor Importance",5,10))</f>
        <v>20</v>
      </c>
      <c r="L98" s="283" t="n">
        <f aca="false">IF($E98="Not Scored", "N/A",IF(AND($D98='Auto Responses'!$J$27,$H98=""),"N/A",IF(AND($D98='Auto Responses'!$J$27,$H98='Auto Responses'!$J$7),1,IF(AND($D98='Auto Responses'!$J$27,$H98='Auto Responses'!$J$8),0,IF(OR($F98=$G98,$H98='Auto Responses'!$J$7),1,0)))))</f>
        <v>0</v>
      </c>
      <c r="M98" s="311" t="str">
        <f aca="false">VLOOKUP($A98,'Institution Evaluation'!$A$56:$K$346,10,0)&amp;""</f>
        <v/>
      </c>
      <c r="N98" s="311" t="n">
        <f aca="false">IF($J98="Critical Importance",1,IF(AND($J98="",$I98="Critical Importance"),1,0))</f>
        <v>1</v>
      </c>
      <c r="O98" s="283" t="n">
        <f aca="false">IF(OR($E98="Not Scored",$F98="N/A"),"N/A",IF($J98="",$K98,IF($J98="Minor Importance",5,IF($J98="Standard Importance",10,IF($J98="Critical Importance",20,0)))))</f>
        <v>20</v>
      </c>
      <c r="P98" s="283" t="n">
        <f aca="false">IF(OR($O98="N/A",$L98="N/A"),"N/A",$O98*$L98)</f>
        <v>0</v>
      </c>
      <c r="Q98" s="283" t="n">
        <f aca="false">IF(M98="TRUE",1,0)</f>
        <v>0</v>
      </c>
      <c r="R98" s="283" t="n">
        <f aca="false">R97+Q98</f>
        <v>0</v>
      </c>
      <c r="S98" s="283" t="n">
        <f aca="false">IF(Q98=0,0,R98)</f>
        <v>0</v>
      </c>
      <c r="T98" s="283" t="n">
        <f aca="false">IF(N98=1,1,0)</f>
        <v>1</v>
      </c>
      <c r="U98" s="283" t="n">
        <f aca="false">U97+T98</f>
        <v>35</v>
      </c>
      <c r="V98" s="283" t="n">
        <f aca="false">IF(T98=0,0,U98)</f>
        <v>35</v>
      </c>
    </row>
    <row r="99" customFormat="false" ht="26.85" hidden="false" customHeight="false" outlineLevel="0" collapsed="false">
      <c r="A99" s="311" t="str">
        <f aca="false">Questions!$A99</f>
        <v>CHNG-04</v>
      </c>
      <c r="B99" s="311" t="str">
        <f aca="false">LEFT(A99,4)</f>
        <v>CHNG</v>
      </c>
      <c r="C99" s="311" t="str">
        <f aca="false">VLOOKUP($A99,Questions!$A$3:$L$333,2,0)&amp;""</f>
        <v>Do you have a documented change management process?</v>
      </c>
      <c r="D99" s="311" t="str">
        <f aca="false">VLOOKUP($A99,Questions!$A$3:$L$333,11,0)&amp;""</f>
        <v/>
      </c>
      <c r="E99" s="311" t="str">
        <f aca="false">VLOOKUP($A99,Questions!$A$3:$L$333,12,0)&amp;""</f>
        <v>Organization</v>
      </c>
      <c r="F99" s="311" t="str">
        <f aca="false">VLOOKUP($A99,'Institution Evaluation'!$A$56:$K$346,3,0)&amp;""</f>
        <v>No</v>
      </c>
      <c r="G99" s="311" t="str">
        <f aca="false">VLOOKUP($A99,'Institution Evaluation'!$A$56:$K$346,7,0)&amp;""</f>
        <v>Yes</v>
      </c>
      <c r="H99" s="311" t="str">
        <f aca="false">VLOOKUP($A99,'Institution Evaluation'!$A$56:$K$346,8,0)&amp;""</f>
        <v/>
      </c>
      <c r="I99" s="311" t="str">
        <f aca="false">VLOOKUP($A99,'Institution Evaluation'!$A$56:$K$346,9,0)&amp;""</f>
        <v>Standard Importance</v>
      </c>
      <c r="J99" s="311" t="str">
        <f aca="false">VLOOKUP($A99,'Institution Evaluation'!$A$56:$K$346,10,0)&amp;""</f>
        <v/>
      </c>
      <c r="K99" s="311" t="n">
        <f aca="false">IF($I99="Critical Importance",20,IF($I99="Minor Importance",5,10))</f>
        <v>10</v>
      </c>
      <c r="L99" s="283" t="n">
        <f aca="false">IF($E99="Not Scored", "N/A",IF(AND($D99='Auto Responses'!$J$27,$H99=""),"N/A",IF(AND($D99='Auto Responses'!$J$27,$H99='Auto Responses'!$J$7),1,IF(AND($D99='Auto Responses'!$J$27,$H99='Auto Responses'!$J$8),0,IF(OR($F99=$G99,$H99='Auto Responses'!$J$7),1,0)))))</f>
        <v>0</v>
      </c>
      <c r="M99" s="311" t="str">
        <f aca="false">VLOOKUP($A99,'Institution Evaluation'!$A$56:$K$346,10,0)&amp;""</f>
        <v/>
      </c>
      <c r="N99" s="311" t="n">
        <f aca="false">IF($J99="Critical Importance",1,IF(AND($J99="",$I99="Critical Importance"),1,0))</f>
        <v>0</v>
      </c>
      <c r="O99" s="283" t="n">
        <f aca="false">IF($E99="Not Scored","N/A",IF($J99="",$K99,IF($J99="Minor Importance",5,IF($J99="Standard Importance",10,IF($J99="Critical Importance",20,0)))))</f>
        <v>10</v>
      </c>
      <c r="P99" s="283" t="n">
        <f aca="false">IF(OR($O99="N/A",$L99="N/A"),"N/A",$O99*$L99)</f>
        <v>0</v>
      </c>
      <c r="Q99" s="283" t="n">
        <f aca="false">IF(M99="TRUE",1,0)</f>
        <v>0</v>
      </c>
      <c r="R99" s="283" t="n">
        <f aca="false">R98+Q99</f>
        <v>0</v>
      </c>
      <c r="S99" s="283" t="n">
        <f aca="false">IF(Q99=0,0,R99)</f>
        <v>0</v>
      </c>
      <c r="T99" s="283" t="n">
        <f aca="false">IF(N99=1,1,0)</f>
        <v>0</v>
      </c>
      <c r="U99" s="283" t="n">
        <f aca="false">U98+T99</f>
        <v>35</v>
      </c>
      <c r="V99" s="283" t="n">
        <f aca="false">IF(T99=0,0,U99)</f>
        <v>0</v>
      </c>
    </row>
    <row r="100" customFormat="false" ht="52.2" hidden="false" customHeight="false" outlineLevel="0" collapsed="false">
      <c r="A100" s="311" t="str">
        <f aca="false">Questions!$A100</f>
        <v>CHNG-05</v>
      </c>
      <c r="B100" s="311" t="str">
        <f aca="false">LEFT(A100,4)</f>
        <v>CHNG</v>
      </c>
      <c r="C100" s="311" t="str">
        <f aca="false">VLOOKUP($A100,Questions!$A$3:$L$333,2,0)&amp;""</f>
        <v>Does your change management process minimally include authorization, impact analysis, testing, and validation before moving changes to production?</v>
      </c>
      <c r="D100" s="311" t="str">
        <f aca="false">VLOOKUP($A100,Questions!$A$3:$L$333,11,0)&amp;""</f>
        <v/>
      </c>
      <c r="E100" s="311" t="str">
        <f aca="false">VLOOKUP($A100,Questions!$A$3:$L$333,12,0)&amp;""</f>
        <v>Organization</v>
      </c>
      <c r="F100" s="311" t="str">
        <f aca="false">VLOOKUP($A100,'Institution Evaluation'!$A$56:$K$346,3,0)&amp;""</f>
        <v>No</v>
      </c>
      <c r="G100" s="311" t="str">
        <f aca="false">VLOOKUP($A100,'Institution Evaluation'!$A$56:$K$346,7,0)&amp;""</f>
        <v>Yes</v>
      </c>
      <c r="H100" s="311" t="str">
        <f aca="false">VLOOKUP($A100,'Institution Evaluation'!$A$56:$K$346,8,0)&amp;""</f>
        <v/>
      </c>
      <c r="I100" s="311" t="str">
        <f aca="false">VLOOKUP($A100,'Institution Evaluation'!$A$56:$K$346,9,0)&amp;""</f>
        <v>Standard Importance</v>
      </c>
      <c r="J100" s="311" t="str">
        <f aca="false">VLOOKUP($A100,'Institution Evaluation'!$A$56:$K$346,10,0)&amp;""</f>
        <v/>
      </c>
      <c r="K100" s="311" t="n">
        <f aca="false">IF($I100="Critical Importance",20,IF($I100="Minor Importance",5,10))</f>
        <v>10</v>
      </c>
      <c r="L100" s="283" t="n">
        <f aca="false">IF($E100="Not Scored", "N/A",IF(AND($D100='Auto Responses'!$J$27,$H100=""),"N/A",IF(AND($D100='Auto Responses'!$J$27,$H100='Auto Responses'!$J$7),1,IF(AND($D100='Auto Responses'!$J$27,$H100='Auto Responses'!$J$8),0,IF(OR($F100=$G100,$H100='Auto Responses'!$J$7),1,0)))))</f>
        <v>0</v>
      </c>
      <c r="M100" s="311" t="str">
        <f aca="false">VLOOKUP($A100,'Institution Evaluation'!$A$56:$K$346,10,0)&amp;""</f>
        <v/>
      </c>
      <c r="N100" s="311" t="n">
        <f aca="false">IF($J100="Critical Importance",1,IF(AND($J100="",$I100="Critical Importance"),1,0))</f>
        <v>0</v>
      </c>
      <c r="O100" s="283" t="n">
        <f aca="false">IF($E100="Not Scored","N/A",IF($J100="",$K100,IF($J100="Minor Importance",5,IF($J100="Standard Importance",10,IF($J100="Critical Importance",20,0)))))</f>
        <v>10</v>
      </c>
      <c r="P100" s="283" t="n">
        <f aca="false">IF(OR($O100="N/A",$L100="N/A"),"N/A",$O100*$L100)</f>
        <v>0</v>
      </c>
      <c r="Q100" s="283" t="n">
        <f aca="false">IF(M100="TRUE",1,0)</f>
        <v>0</v>
      </c>
      <c r="R100" s="283" t="n">
        <f aca="false">R99+Q100</f>
        <v>0</v>
      </c>
      <c r="S100" s="283" t="n">
        <f aca="false">IF(Q100=0,0,R100)</f>
        <v>0</v>
      </c>
      <c r="T100" s="283" t="n">
        <f aca="false">IF(N100=1,1,0)</f>
        <v>0</v>
      </c>
      <c r="U100" s="283" t="n">
        <f aca="false">U99+T100</f>
        <v>35</v>
      </c>
      <c r="V100" s="283" t="n">
        <f aca="false">IF(T100=0,0,U100)</f>
        <v>0</v>
      </c>
    </row>
    <row r="101" customFormat="false" ht="52.2" hidden="false" customHeight="false" outlineLevel="0" collapsed="false">
      <c r="A101" s="311" t="str">
        <f aca="false">Questions!$A101</f>
        <v>CHNG-06</v>
      </c>
      <c r="B101" s="311" t="str">
        <f aca="false">LEFT(A101,4)</f>
        <v>CHNG</v>
      </c>
      <c r="C101" s="311" t="str">
        <f aca="false">VLOOKUP($A101,Questions!$A$3:$L$333,2,0)&amp;""</f>
        <v>Does your change management process verify that all required third-party libraries and dependencies are still supported with each major change?</v>
      </c>
      <c r="D101" s="311" t="str">
        <f aca="false">VLOOKUP($A101,Questions!$A$3:$L$333,11,0)&amp;""</f>
        <v/>
      </c>
      <c r="E101" s="311" t="str">
        <f aca="false">VLOOKUP($A101,Questions!$A$3:$L$333,12,0)&amp;""</f>
        <v>Organization</v>
      </c>
      <c r="F101" s="311" t="str">
        <f aca="false">VLOOKUP($A101,'Institution Evaluation'!$A$56:$K$346,3,0)&amp;""</f>
        <v>Yes</v>
      </c>
      <c r="G101" s="311" t="str">
        <f aca="false">VLOOKUP($A101,'Institution Evaluation'!$A$56:$K$346,7,0)&amp;""</f>
        <v>Yes</v>
      </c>
      <c r="H101" s="311" t="str">
        <f aca="false">VLOOKUP($A101,'Institution Evaluation'!$A$56:$K$346,8,0)&amp;""</f>
        <v/>
      </c>
      <c r="I101" s="311" t="str">
        <f aca="false">VLOOKUP($A101,'Institution Evaluation'!$A$56:$K$346,9,0)&amp;""</f>
        <v>Standard Importance</v>
      </c>
      <c r="J101" s="311" t="str">
        <f aca="false">VLOOKUP($A101,'Institution Evaluation'!$A$56:$K$346,10,0)&amp;""</f>
        <v/>
      </c>
      <c r="K101" s="311" t="n">
        <f aca="false">IF($I101="Critical Importance",20,IF($I101="Minor Importance",5,10))</f>
        <v>10</v>
      </c>
      <c r="L101" s="283" t="n">
        <f aca="false">IF($E101="Not Scored", "N/A",IF(AND($D101='Auto Responses'!$J$27,$H101=""),"N/A",IF(AND($D101='Auto Responses'!$J$27,$H101='Auto Responses'!$J$7),1,IF(AND($D101='Auto Responses'!$J$27,$H101='Auto Responses'!$J$8),0,IF(OR($F101=$G101,$H101='Auto Responses'!$J$7),1,0)))))</f>
        <v>1</v>
      </c>
      <c r="M101" s="311" t="str">
        <f aca="false">VLOOKUP($A101,'Institution Evaluation'!$A$56:$K$346,10,0)&amp;""</f>
        <v/>
      </c>
      <c r="N101" s="311" t="n">
        <f aca="false">IF($J101="Critical Importance",1,IF(AND($J101="",$I101="Critical Importance"),1,0))</f>
        <v>0</v>
      </c>
      <c r="O101" s="283" t="n">
        <f aca="false">IF($E101="Not Scored","N/A",IF($J101="",$K101,IF($J101="Minor Importance",5,IF($J101="Standard Importance",10,IF($J101="Critical Importance",20,0)))))</f>
        <v>10</v>
      </c>
      <c r="P101" s="283" t="n">
        <f aca="false">IF(OR($O101="N/A",$L101="N/A"),"N/A",$O101*$L101)</f>
        <v>10</v>
      </c>
      <c r="Q101" s="283" t="n">
        <f aca="false">IF(M101="TRUE",1,0)</f>
        <v>0</v>
      </c>
      <c r="R101" s="283" t="n">
        <f aca="false">R100+Q101</f>
        <v>0</v>
      </c>
      <c r="S101" s="283" t="n">
        <f aca="false">IF(Q101=0,0,R101)</f>
        <v>0</v>
      </c>
      <c r="T101" s="283" t="n">
        <f aca="false">IF(N101=1,1,0)</f>
        <v>0</v>
      </c>
      <c r="U101" s="283" t="n">
        <f aca="false">U100+T101</f>
        <v>35</v>
      </c>
      <c r="V101" s="283" t="n">
        <f aca="false">IF(T101=0,0,U101)</f>
        <v>0</v>
      </c>
    </row>
    <row r="102" customFormat="false" ht="39.55" hidden="false" customHeight="false" outlineLevel="0" collapsed="false">
      <c r="A102" s="311" t="str">
        <f aca="false">Questions!$A102</f>
        <v>CHNG-07</v>
      </c>
      <c r="B102" s="311" t="str">
        <f aca="false">LEFT(A102,4)</f>
        <v>CHNG</v>
      </c>
      <c r="C102" s="311" t="str">
        <f aca="false">VLOOKUP($A102,Questions!$A$3:$L$333,2,0)&amp;""</f>
        <v>Do you have policy and procedure, currently implemented, managing how critical patches are applied to all systems and applications?</v>
      </c>
      <c r="D102" s="311" t="str">
        <f aca="false">VLOOKUP($A102,Questions!$A$3:$L$333,11,0)&amp;""</f>
        <v/>
      </c>
      <c r="E102" s="311" t="str">
        <f aca="false">VLOOKUP($A102,Questions!$A$3:$L$333,12,0)&amp;""</f>
        <v>Organization</v>
      </c>
      <c r="F102" s="311" t="str">
        <f aca="false">VLOOKUP($A102,'Institution Evaluation'!$A$56:$K$346,3,0)&amp;""</f>
        <v>No</v>
      </c>
      <c r="G102" s="311" t="str">
        <f aca="false">VLOOKUP($A102,'Institution Evaluation'!$A$56:$K$346,7,0)&amp;""</f>
        <v>Yes</v>
      </c>
      <c r="H102" s="311" t="str">
        <f aca="false">VLOOKUP($A102,'Institution Evaluation'!$A$56:$K$346,8,0)&amp;""</f>
        <v/>
      </c>
      <c r="I102" s="311" t="str">
        <f aca="false">VLOOKUP($A102,'Institution Evaluation'!$A$56:$K$346,9,0)&amp;""</f>
        <v>Standard Importance</v>
      </c>
      <c r="J102" s="311" t="str">
        <f aca="false">VLOOKUP($A102,'Institution Evaluation'!$A$56:$K$346,10,0)&amp;""</f>
        <v/>
      </c>
      <c r="K102" s="311" t="n">
        <f aca="false">IF($I102="Critical Importance",20,IF($I102="Minor Importance",5,10))</f>
        <v>10</v>
      </c>
      <c r="L102" s="283" t="n">
        <f aca="false">IF($E102="Not Scored", "N/A",IF(AND($D102='Auto Responses'!$J$27,$H102=""),"N/A",IF(AND($D102='Auto Responses'!$J$27,$H102='Auto Responses'!$J$7),1,IF(AND($D102='Auto Responses'!$J$27,$H102='Auto Responses'!$J$8),0,IF(OR($F102=$G102,$H102='Auto Responses'!$J$7),1,0)))))</f>
        <v>0</v>
      </c>
      <c r="M102" s="311" t="str">
        <f aca="false">VLOOKUP($A102,'Institution Evaluation'!$A$56:$K$346,10,0)&amp;""</f>
        <v/>
      </c>
      <c r="N102" s="311" t="n">
        <f aca="false">IF($J102="Critical Importance",1,IF(AND($J102="",$I102="Critical Importance"),1,0))</f>
        <v>0</v>
      </c>
      <c r="O102" s="283" t="n">
        <f aca="false">IF($E102="Not Scored","N/A",IF($J102="",$K102,IF($J102="Minor Importance",5,IF($J102="Standard Importance",10,IF($J102="Critical Importance",20,0)))))</f>
        <v>10</v>
      </c>
      <c r="P102" s="283" t="n">
        <f aca="false">IF(OR($O102="N/A",$L102="N/A"),"N/A",$O102*$L102)</f>
        <v>0</v>
      </c>
      <c r="Q102" s="283" t="n">
        <f aca="false">IF(M102="TRUE",1,0)</f>
        <v>0</v>
      </c>
      <c r="R102" s="283" t="n">
        <f aca="false">R101+Q102</f>
        <v>0</v>
      </c>
      <c r="S102" s="283" t="n">
        <f aca="false">IF(Q102=0,0,R102)</f>
        <v>0</v>
      </c>
      <c r="T102" s="283" t="n">
        <f aca="false">IF(N102=1,1,0)</f>
        <v>0</v>
      </c>
      <c r="U102" s="283" t="n">
        <f aca="false">U101+T102</f>
        <v>35</v>
      </c>
      <c r="V102" s="283" t="n">
        <f aca="false">IF(T102=0,0,U102)</f>
        <v>0</v>
      </c>
    </row>
    <row r="103" customFormat="false" ht="39.55" hidden="false" customHeight="false" outlineLevel="0" collapsed="false">
      <c r="A103" s="311" t="str">
        <f aca="false">Questions!$A103</f>
        <v>CHNG-08</v>
      </c>
      <c r="B103" s="311" t="str">
        <f aca="false">LEFT(A103,4)</f>
        <v>CHNG</v>
      </c>
      <c r="C103" s="311" t="str">
        <f aca="false">VLOOKUP($A103,Questions!$A$3:$L$333,2,0)&amp;""</f>
        <v>Have you implemented policies and procedures that guide how security risks are mitigated until patches can be applied?</v>
      </c>
      <c r="D103" s="311" t="str">
        <f aca="false">VLOOKUP($A103,Questions!$A$3:$L$333,11,0)&amp;""</f>
        <v/>
      </c>
      <c r="E103" s="311" t="str">
        <f aca="false">VLOOKUP($A103,Questions!$A$3:$L$333,12,0)&amp;""</f>
        <v>Organization</v>
      </c>
      <c r="F103" s="311" t="str">
        <f aca="false">VLOOKUP($A103,'Institution Evaluation'!$A$56:$K$346,3,0)&amp;""</f>
        <v>No</v>
      </c>
      <c r="G103" s="311" t="str">
        <f aca="false">VLOOKUP($A103,'Institution Evaluation'!$A$56:$K$346,7,0)&amp;""</f>
        <v>Yes</v>
      </c>
      <c r="H103" s="311" t="str">
        <f aca="false">VLOOKUP($A103,'Institution Evaluation'!$A$56:$K$346,8,0)&amp;""</f>
        <v/>
      </c>
      <c r="I103" s="311" t="str">
        <f aca="false">VLOOKUP($A103,'Institution Evaluation'!$A$56:$K$346,9,0)&amp;""</f>
        <v>Standard Importance</v>
      </c>
      <c r="J103" s="311" t="str">
        <f aca="false">VLOOKUP($A103,'Institution Evaluation'!$A$56:$K$346,10,0)&amp;""</f>
        <v/>
      </c>
      <c r="K103" s="311" t="n">
        <f aca="false">IF($I103="Critical Importance",20,IF($I103="Minor Importance",5,10))</f>
        <v>10</v>
      </c>
      <c r="L103" s="283" t="n">
        <f aca="false">IF($E103="Not Scored", "N/A",IF(AND($D103='Auto Responses'!$J$27,$H103=""),"N/A",IF(AND($D103='Auto Responses'!$J$27,$H103='Auto Responses'!$J$7),1,IF(AND($D103='Auto Responses'!$J$27,$H103='Auto Responses'!$J$8),0,IF(OR($F103=$G103,$H103='Auto Responses'!$J$7),1,0)))))</f>
        <v>0</v>
      </c>
      <c r="M103" s="311" t="str">
        <f aca="false">VLOOKUP($A103,'Institution Evaluation'!$A$56:$K$346,10,0)&amp;""</f>
        <v/>
      </c>
      <c r="N103" s="311" t="n">
        <f aca="false">IF($J103="Critical Importance",1,IF(AND($J103="",$I103="Critical Importance"),1,0))</f>
        <v>0</v>
      </c>
      <c r="O103" s="283" t="n">
        <f aca="false">IF($E103="Not Scored","N/A",IF($J103="",$K103,IF($J103="Minor Importance",5,IF($J103="Standard Importance",10,IF($J103="Critical Importance",20,0)))))</f>
        <v>10</v>
      </c>
      <c r="P103" s="283" t="n">
        <f aca="false">IF(OR($O103="N/A",$L103="N/A"),"N/A",$O103*$L103)</f>
        <v>0</v>
      </c>
      <c r="Q103" s="283" t="n">
        <f aca="false">IF(M103="TRUE",1,0)</f>
        <v>0</v>
      </c>
      <c r="R103" s="283" t="n">
        <f aca="false">R102+Q103</f>
        <v>0</v>
      </c>
      <c r="S103" s="283" t="n">
        <f aca="false">IF(Q103=0,0,R103)</f>
        <v>0</v>
      </c>
      <c r="T103" s="283" t="n">
        <f aca="false">IF(N103=1,1,0)</f>
        <v>0</v>
      </c>
      <c r="U103" s="283" t="n">
        <f aca="false">U102+T103</f>
        <v>35</v>
      </c>
      <c r="V103" s="283" t="n">
        <f aca="false">IF(T103=0,0,U103)</f>
        <v>0</v>
      </c>
    </row>
    <row r="104" customFormat="false" ht="26.85" hidden="false" customHeight="false" outlineLevel="0" collapsed="false">
      <c r="A104" s="311" t="str">
        <f aca="false">Questions!$A104</f>
        <v>CHNG-09</v>
      </c>
      <c r="B104" s="311" t="str">
        <f aca="false">LEFT(A104,4)</f>
        <v>CHNG</v>
      </c>
      <c r="C104" s="311" t="str">
        <f aca="false">VLOOKUP($A104,Questions!$A$3:$L$333,2,0)&amp;""</f>
        <v>Do clients have the option to not participate in or postpone an upgrade to a new release?</v>
      </c>
      <c r="D104" s="311" t="str">
        <f aca="false">VLOOKUP($A104,Questions!$A$3:$L$333,11,0)&amp;""</f>
        <v/>
      </c>
      <c r="E104" s="311" t="str">
        <f aca="false">VLOOKUP($A104,Questions!$A$3:$L$333,12,0)&amp;""</f>
        <v>Organization</v>
      </c>
      <c r="F104" s="311" t="str">
        <f aca="false">VLOOKUP($A104,'Institution Evaluation'!$A$56:$K$346,3,0)&amp;""</f>
        <v>Yes</v>
      </c>
      <c r="G104" s="311" t="str">
        <f aca="false">VLOOKUP($A104,'Institution Evaluation'!$A$56:$K$346,7,0)&amp;""</f>
        <v>Yes</v>
      </c>
      <c r="H104" s="311" t="str">
        <f aca="false">VLOOKUP($A104,'Institution Evaluation'!$A$56:$K$346,8,0)&amp;""</f>
        <v/>
      </c>
      <c r="I104" s="311" t="str">
        <f aca="false">VLOOKUP($A104,'Institution Evaluation'!$A$56:$K$346,9,0)&amp;""</f>
        <v>Minor Importance</v>
      </c>
      <c r="J104" s="311" t="str">
        <f aca="false">VLOOKUP($A104,'Institution Evaluation'!$A$56:$K$346,10,0)&amp;""</f>
        <v/>
      </c>
      <c r="K104" s="311" t="n">
        <f aca="false">IF($I104="Critical Importance",20,IF($I104="Minor Importance",5,10))</f>
        <v>5</v>
      </c>
      <c r="L104" s="283" t="n">
        <f aca="false">IF($E104="Not Scored", "N/A",IF(AND($D104='Auto Responses'!$J$27,$H104=""),"N/A",IF(AND($D104='Auto Responses'!$J$27,$H104='Auto Responses'!$J$7),1,IF(AND($D104='Auto Responses'!$J$27,$H104='Auto Responses'!$J$8),0,IF(OR($F104=$G104,$H104='Auto Responses'!$J$7),1,0)))))</f>
        <v>1</v>
      </c>
      <c r="M104" s="311" t="str">
        <f aca="false">VLOOKUP($A104,'Institution Evaluation'!$A$56:$K$346,10,0)&amp;""</f>
        <v/>
      </c>
      <c r="N104" s="311" t="n">
        <f aca="false">IF($J104="Critical Importance",1,IF(AND($J104="",$I104="Critical Importance"),1,0))</f>
        <v>0</v>
      </c>
      <c r="O104" s="283" t="n">
        <f aca="false">IF($E104="Not Scored","N/A",IF($J104="",$K104,IF($J104="Minor Importance",5,IF($J104="Standard Importance",10,IF($J104="Critical Importance",20,0)))))</f>
        <v>5</v>
      </c>
      <c r="P104" s="283" t="n">
        <f aca="false">IF(OR($O104="N/A",$L104="N/A"),"N/A",$O104*$L104)</f>
        <v>5</v>
      </c>
      <c r="Q104" s="283" t="n">
        <f aca="false">IF(M104="TRUE",1,0)</f>
        <v>0</v>
      </c>
      <c r="R104" s="283" t="n">
        <f aca="false">R103+Q104</f>
        <v>0</v>
      </c>
      <c r="S104" s="283" t="n">
        <f aca="false">IF(Q104=0,0,R104)</f>
        <v>0</v>
      </c>
      <c r="T104" s="283" t="n">
        <f aca="false">IF(N104=1,1,0)</f>
        <v>0</v>
      </c>
      <c r="U104" s="283" t="n">
        <f aca="false">U103+T104</f>
        <v>35</v>
      </c>
      <c r="V104" s="283" t="n">
        <f aca="false">IF(T104=0,0,U104)</f>
        <v>0</v>
      </c>
    </row>
    <row r="105" customFormat="false" ht="39.55" hidden="false" customHeight="false" outlineLevel="0" collapsed="false">
      <c r="A105" s="311" t="str">
        <f aca="false">Questions!$A105</f>
        <v>CHNG-10</v>
      </c>
      <c r="B105" s="311" t="str">
        <f aca="false">LEFT(A105,4)</f>
        <v>CHNG</v>
      </c>
      <c r="C105" s="311" t="str">
        <f aca="false">VLOOKUP($A105,Questions!$A$3:$L$333,2,0)&amp;""</f>
        <v>Do you have a fully implemented solution support strategy that defines how many concurrent versions you support?</v>
      </c>
      <c r="D105" s="311" t="str">
        <f aca="false">VLOOKUP($A105,Questions!$A$3:$L$333,11,0)&amp;""</f>
        <v/>
      </c>
      <c r="E105" s="311" t="str">
        <f aca="false">VLOOKUP($A105,Questions!$A$3:$L$333,12,0)&amp;""</f>
        <v>Organization</v>
      </c>
      <c r="F105" s="311" t="str">
        <f aca="false">VLOOKUP($A105,'Institution Evaluation'!$A$56:$K$346,3,0)&amp;""</f>
        <v>Yes</v>
      </c>
      <c r="G105" s="311" t="str">
        <f aca="false">VLOOKUP($A105,'Institution Evaluation'!$A$56:$K$346,7,0)&amp;""</f>
        <v>Yes</v>
      </c>
      <c r="H105" s="311" t="str">
        <f aca="false">VLOOKUP($A105,'Institution Evaluation'!$A$56:$K$346,8,0)&amp;""</f>
        <v/>
      </c>
      <c r="I105" s="311" t="str">
        <f aca="false">VLOOKUP($A105,'Institution Evaluation'!$A$56:$K$346,9,0)&amp;""</f>
        <v>Minor Importance</v>
      </c>
      <c r="J105" s="311" t="str">
        <f aca="false">VLOOKUP($A105,'Institution Evaluation'!$A$56:$K$346,10,0)&amp;""</f>
        <v/>
      </c>
      <c r="K105" s="311" t="n">
        <f aca="false">IF($I105="Critical Importance",20,IF($I105="Minor Importance",5,10))</f>
        <v>5</v>
      </c>
      <c r="L105" s="283" t="n">
        <f aca="false">IF($E105="Not Scored", "N/A",IF(AND($D105='Auto Responses'!$J$27,$H105=""),"N/A",IF(AND($D105='Auto Responses'!$J$27,$H105='Auto Responses'!$J$7),1,IF(AND($D105='Auto Responses'!$J$27,$H105='Auto Responses'!$J$8),0,IF(OR($F105=$G105,$H105='Auto Responses'!$J$7),1,0)))))</f>
        <v>1</v>
      </c>
      <c r="M105" s="311" t="str">
        <f aca="false">VLOOKUP($A105,'Institution Evaluation'!$A$56:$K$346,10,0)&amp;""</f>
        <v/>
      </c>
      <c r="N105" s="311" t="n">
        <f aca="false">IF($J105="Critical Importance",1,IF(AND($J105="",$I105="Critical Importance"),1,0))</f>
        <v>0</v>
      </c>
      <c r="O105" s="283" t="n">
        <f aca="false">IF($E105="Not Scored","N/A",IF($J105="",$K105,IF($J105="Minor Importance",5,IF($J105="Standard Importance",10,IF($J105="Critical Importance",20,0)))))</f>
        <v>5</v>
      </c>
      <c r="P105" s="283" t="n">
        <f aca="false">IF(OR($O105="N/A",$L105="N/A"),"N/A",$O105*$L105)</f>
        <v>5</v>
      </c>
      <c r="Q105" s="283" t="n">
        <f aca="false">IF(M105="TRUE",1,0)</f>
        <v>0</v>
      </c>
      <c r="R105" s="283" t="n">
        <f aca="false">R104+Q105</f>
        <v>0</v>
      </c>
      <c r="S105" s="283" t="n">
        <f aca="false">IF(Q105=0,0,R105)</f>
        <v>0</v>
      </c>
      <c r="T105" s="283" t="n">
        <f aca="false">IF(N105=1,1,0)</f>
        <v>0</v>
      </c>
      <c r="U105" s="283" t="n">
        <f aca="false">U104+T105</f>
        <v>35</v>
      </c>
      <c r="V105" s="283" t="n">
        <f aca="false">IF(T105=0,0,U105)</f>
        <v>0</v>
      </c>
    </row>
    <row r="106" customFormat="false" ht="26.85" hidden="false" customHeight="false" outlineLevel="0" collapsed="false">
      <c r="A106" s="311" t="str">
        <f aca="false">Questions!$A106</f>
        <v>CHNG-11</v>
      </c>
      <c r="B106" s="311" t="str">
        <f aca="false">LEFT(A106,4)</f>
        <v>CHNG</v>
      </c>
      <c r="C106" s="311" t="str">
        <f aca="false">VLOOKUP($A106,Questions!$A$3:$L$333,2,0)&amp;""</f>
        <v>Do you have a release schedule for product updates?</v>
      </c>
      <c r="D106" s="311" t="str">
        <f aca="false">VLOOKUP($A106,Questions!$A$3:$L$333,11,0)&amp;""</f>
        <v/>
      </c>
      <c r="E106" s="311" t="str">
        <f aca="false">VLOOKUP($A106,Questions!$A$3:$L$333,12,0)&amp;""</f>
        <v>Organization</v>
      </c>
      <c r="F106" s="311" t="str">
        <f aca="false">VLOOKUP($A106,'Institution Evaluation'!$A$56:$K$346,3,0)&amp;""</f>
        <v>Yes</v>
      </c>
      <c r="G106" s="311" t="str">
        <f aca="false">VLOOKUP($A106,'Institution Evaluation'!$A$56:$K$346,7,0)&amp;""</f>
        <v>Yes</v>
      </c>
      <c r="H106" s="311" t="str">
        <f aca="false">VLOOKUP($A106,'Institution Evaluation'!$A$56:$K$346,8,0)&amp;""</f>
        <v/>
      </c>
      <c r="I106" s="311" t="str">
        <f aca="false">VLOOKUP($A106,'Institution Evaluation'!$A$56:$K$346,9,0)&amp;""</f>
        <v>Minor Importance</v>
      </c>
      <c r="J106" s="311" t="str">
        <f aca="false">VLOOKUP($A106,'Institution Evaluation'!$A$56:$K$346,10,0)&amp;""</f>
        <v/>
      </c>
      <c r="K106" s="311" t="n">
        <f aca="false">IF($I106="Critical Importance",20,IF($I106="Minor Importance",5,10))</f>
        <v>5</v>
      </c>
      <c r="L106" s="283" t="n">
        <f aca="false">IF($E106="Not Scored", "N/A",IF(AND($D106='Auto Responses'!$J$27,$H106=""),"N/A",IF(AND($D106='Auto Responses'!$J$27,$H106='Auto Responses'!$J$7),1,IF(AND($D106='Auto Responses'!$J$27,$H106='Auto Responses'!$J$8),0,IF(OR($F106=$G106,$H106='Auto Responses'!$J$7),1,0)))))</f>
        <v>1</v>
      </c>
      <c r="M106" s="311" t="str">
        <f aca="false">VLOOKUP($A106,'Institution Evaluation'!$A$56:$K$346,10,0)&amp;""</f>
        <v/>
      </c>
      <c r="N106" s="311" t="n">
        <f aca="false">IF($J106="Critical Importance",1,IF(AND($J106="",$I106="Critical Importance"),1,0))</f>
        <v>0</v>
      </c>
      <c r="O106" s="283" t="n">
        <f aca="false">IF($E106="Not Scored","N/A",IF($J106="",$K106,IF($J106="Minor Importance",5,IF($J106="Standard Importance",10,IF($J106="Critical Importance",20,0)))))</f>
        <v>5</v>
      </c>
      <c r="P106" s="283" t="n">
        <f aca="false">IF(OR($O106="N/A",$L106="N/A"),"N/A",$O106*$L106)</f>
        <v>5</v>
      </c>
      <c r="Q106" s="283" t="n">
        <f aca="false">IF(M106="TRUE",1,0)</f>
        <v>0</v>
      </c>
      <c r="R106" s="283" t="n">
        <f aca="false">R105+Q106</f>
        <v>0</v>
      </c>
      <c r="S106" s="283" t="n">
        <f aca="false">IF(Q106=0,0,R106)</f>
        <v>0</v>
      </c>
      <c r="T106" s="283" t="n">
        <f aca="false">IF(N106=1,1,0)</f>
        <v>0</v>
      </c>
      <c r="U106" s="283" t="n">
        <f aca="false">U105+T106</f>
        <v>35</v>
      </c>
      <c r="V106" s="283" t="n">
        <f aca="false">IF(T106=0,0,U106)</f>
        <v>0</v>
      </c>
    </row>
    <row r="107" customFormat="false" ht="39.55" hidden="false" customHeight="false" outlineLevel="0" collapsed="false">
      <c r="A107" s="311" t="str">
        <f aca="false">Questions!$A107</f>
        <v>CHNG-12</v>
      </c>
      <c r="B107" s="311" t="str">
        <f aca="false">LEFT(A107,4)</f>
        <v>CHNG</v>
      </c>
      <c r="C107" s="311" t="str">
        <f aca="false">VLOOKUP($A107,Questions!$A$3:$L$333,2,0)&amp;""</f>
        <v>Do you have a technology roadmap, for at least the next two years, for enhancements and bug fixes for the solution being assessed?</v>
      </c>
      <c r="D107" s="311" t="str">
        <f aca="false">VLOOKUP($A107,Questions!$A$3:$L$333,11,0)&amp;""</f>
        <v/>
      </c>
      <c r="E107" s="311" t="str">
        <f aca="false">VLOOKUP($A107,Questions!$A$3:$L$333,12,0)&amp;""</f>
        <v>Organization</v>
      </c>
      <c r="F107" s="311" t="str">
        <f aca="false">VLOOKUP($A107,'Institution Evaluation'!$A$56:$K$346,3,0)&amp;""</f>
        <v>Yes</v>
      </c>
      <c r="G107" s="311" t="str">
        <f aca="false">VLOOKUP($A107,'Institution Evaluation'!$A$56:$K$346,7,0)&amp;""</f>
        <v>Yes</v>
      </c>
      <c r="H107" s="311" t="str">
        <f aca="false">VLOOKUP($A107,'Institution Evaluation'!$A$56:$K$346,8,0)&amp;""</f>
        <v/>
      </c>
      <c r="I107" s="311" t="str">
        <f aca="false">VLOOKUP($A107,'Institution Evaluation'!$A$56:$K$346,9,0)&amp;""</f>
        <v>Minor Importance</v>
      </c>
      <c r="J107" s="311" t="str">
        <f aca="false">VLOOKUP($A107,'Institution Evaluation'!$A$56:$K$346,10,0)&amp;""</f>
        <v/>
      </c>
      <c r="K107" s="311" t="n">
        <f aca="false">IF($I107="Critical Importance",20,IF($I107="Minor Importance",5,10))</f>
        <v>5</v>
      </c>
      <c r="L107" s="283" t="n">
        <f aca="false">IF($E107="Not Scored", "N/A",IF(AND($D107='Auto Responses'!$J$27,$H107=""),"N/A",IF(AND($D107='Auto Responses'!$J$27,$H107='Auto Responses'!$J$7),1,IF(AND($D107='Auto Responses'!$J$27,$H107='Auto Responses'!$J$8),0,IF(OR($F107=$G107,$H107='Auto Responses'!$J$7),1,0)))))</f>
        <v>1</v>
      </c>
      <c r="M107" s="311" t="str">
        <f aca="false">VLOOKUP($A107,'Institution Evaluation'!$A$56:$K$346,10,0)&amp;""</f>
        <v/>
      </c>
      <c r="N107" s="311" t="n">
        <f aca="false">IF($J107="Critical Importance",1,IF(AND($J107="",$I107="Critical Importance"),1,0))</f>
        <v>0</v>
      </c>
      <c r="O107" s="283" t="n">
        <f aca="false">IF($E107="Not Scored","N/A",IF($J107="",$K107,IF($J107="Minor Importance",5,IF($J107="Standard Importance",10,IF($J107="Critical Importance",20,0)))))</f>
        <v>5</v>
      </c>
      <c r="P107" s="283" t="n">
        <f aca="false">IF(OR($O107="N/A",$L107="N/A"),"N/A",$O107*$L107)</f>
        <v>5</v>
      </c>
      <c r="Q107" s="283" t="n">
        <f aca="false">IF(M107="TRUE",1,0)</f>
        <v>0</v>
      </c>
      <c r="R107" s="283" t="n">
        <f aca="false">R106+Q107</f>
        <v>0</v>
      </c>
      <c r="S107" s="283" t="n">
        <f aca="false">IF(Q107=0,0,R107)</f>
        <v>0</v>
      </c>
      <c r="T107" s="283" t="n">
        <f aca="false">IF(N107=1,1,0)</f>
        <v>0</v>
      </c>
      <c r="U107" s="283" t="n">
        <f aca="false">U106+T107</f>
        <v>35</v>
      </c>
      <c r="V107" s="283" t="n">
        <f aca="false">IF(T107=0,0,U107)</f>
        <v>0</v>
      </c>
    </row>
    <row r="108" customFormat="false" ht="39.55" hidden="false" customHeight="false" outlineLevel="0" collapsed="false">
      <c r="A108" s="311" t="str">
        <f aca="false">Questions!$A108</f>
        <v>CHNG-13</v>
      </c>
      <c r="B108" s="311" t="str">
        <f aca="false">LEFT(A108,4)</f>
        <v>CHNG</v>
      </c>
      <c r="C108" s="311" t="str">
        <f aca="false">VLOOKUP($A108,Questions!$A$3:$L$333,2,0)&amp;""</f>
        <v>Can solution updates be completed without institutional involvement (i.e., technically or organizationally)?</v>
      </c>
      <c r="D108" s="311" t="str">
        <f aca="false">VLOOKUP($A108,Questions!$A$3:$L$333,11,0)&amp;""</f>
        <v/>
      </c>
      <c r="E108" s="311" t="str">
        <f aca="false">VLOOKUP($A108,Questions!$A$3:$L$333,12,0)&amp;""</f>
        <v>Organization</v>
      </c>
      <c r="F108" s="311" t="str">
        <f aca="false">VLOOKUP($A108,'Institution Evaluation'!$A$56:$K$346,3,0)&amp;""</f>
        <v>Yes</v>
      </c>
      <c r="G108" s="311" t="str">
        <f aca="false">VLOOKUP($A108,'Institution Evaluation'!$A$56:$K$346,7,0)&amp;""</f>
        <v>Yes</v>
      </c>
      <c r="H108" s="311" t="str">
        <f aca="false">VLOOKUP($A108,'Institution Evaluation'!$A$56:$K$346,8,0)&amp;""</f>
        <v/>
      </c>
      <c r="I108" s="311" t="str">
        <f aca="false">VLOOKUP($A108,'Institution Evaluation'!$A$56:$K$346,9,0)&amp;""</f>
        <v>Minor Importance</v>
      </c>
      <c r="J108" s="311" t="str">
        <f aca="false">VLOOKUP($A108,'Institution Evaluation'!$A$56:$K$346,10,0)&amp;""</f>
        <v/>
      </c>
      <c r="K108" s="311" t="n">
        <f aca="false">IF($I108="Critical Importance",20,IF($I108="Minor Importance",5,10))</f>
        <v>5</v>
      </c>
      <c r="L108" s="283" t="n">
        <f aca="false">IF($E108="Not Scored", "N/A",IF(AND($D108='Auto Responses'!$J$27,$H108=""),"N/A",IF(AND($D108='Auto Responses'!$J$27,$H108='Auto Responses'!$J$7),1,IF(AND($D108='Auto Responses'!$J$27,$H108='Auto Responses'!$J$8),0,IF(OR($F108=$G108,$H108='Auto Responses'!$J$7),1,0)))))</f>
        <v>1</v>
      </c>
      <c r="M108" s="311" t="str">
        <f aca="false">VLOOKUP($A108,'Institution Evaluation'!$A$56:$K$346,10,0)&amp;""</f>
        <v/>
      </c>
      <c r="N108" s="311" t="n">
        <f aca="false">IF($J108="Critical Importance",1,IF(AND($J108="",$I108="Critical Importance"),1,0))</f>
        <v>0</v>
      </c>
      <c r="O108" s="283" t="n">
        <f aca="false">IF($E108="Not Scored","N/A",IF($J108="",$K108,IF($J108="Minor Importance",5,IF($J108="Standard Importance",10,IF($J108="Critical Importance",20,0)))))</f>
        <v>5</v>
      </c>
      <c r="P108" s="283" t="n">
        <f aca="false">IF(OR($O108="N/A",$L108="N/A"),"N/A",$O108*$L108)</f>
        <v>5</v>
      </c>
      <c r="Q108" s="283" t="n">
        <f aca="false">IF(M108="TRUE",1,0)</f>
        <v>0</v>
      </c>
      <c r="R108" s="283" t="n">
        <f aca="false">R107+Q108</f>
        <v>0</v>
      </c>
      <c r="S108" s="283" t="n">
        <f aca="false">IF(Q108=0,0,R108)</f>
        <v>0</v>
      </c>
      <c r="T108" s="283" t="n">
        <f aca="false">IF(N108=1,1,0)</f>
        <v>0</v>
      </c>
      <c r="U108" s="283" t="n">
        <f aca="false">U107+T108</f>
        <v>35</v>
      </c>
      <c r="V108" s="283" t="n">
        <f aca="false">IF(T108=0,0,U108)</f>
        <v>0</v>
      </c>
    </row>
    <row r="109" customFormat="false" ht="39.55" hidden="false" customHeight="false" outlineLevel="0" collapsed="false">
      <c r="A109" s="311" t="str">
        <f aca="false">Questions!$A109</f>
        <v>CHNG-14</v>
      </c>
      <c r="B109" s="311" t="str">
        <f aca="false">LEFT(A109,4)</f>
        <v>CHNG</v>
      </c>
      <c r="C109" s="311" t="str">
        <f aca="false">VLOOKUP($A109,Questions!$A$3:$L$333,2,0)&amp;""</f>
        <v>Are upgrades or system changes installed during off-peak hours or in a manner that does not impact the customer?</v>
      </c>
      <c r="D109" s="311" t="str">
        <f aca="false">VLOOKUP($A109,Questions!$A$3:$L$333,11,0)&amp;""</f>
        <v/>
      </c>
      <c r="E109" s="311" t="str">
        <f aca="false">VLOOKUP($A109,Questions!$A$3:$L$333,12,0)&amp;""</f>
        <v>Organization</v>
      </c>
      <c r="F109" s="311" t="str">
        <f aca="false">VLOOKUP($A109,'Institution Evaluation'!$A$56:$K$346,3,0)&amp;""</f>
        <v>No</v>
      </c>
      <c r="G109" s="311" t="str">
        <f aca="false">VLOOKUP($A109,'Institution Evaluation'!$A$56:$K$346,7,0)&amp;""</f>
        <v>Yes</v>
      </c>
      <c r="H109" s="311" t="str">
        <f aca="false">VLOOKUP($A109,'Institution Evaluation'!$A$56:$K$346,8,0)&amp;""</f>
        <v/>
      </c>
      <c r="I109" s="311" t="str">
        <f aca="false">VLOOKUP($A109,'Institution Evaluation'!$A$56:$K$346,9,0)&amp;""</f>
        <v>Minor Importance</v>
      </c>
      <c r="J109" s="311" t="str">
        <f aca="false">VLOOKUP($A109,'Institution Evaluation'!$A$56:$K$346,10,0)&amp;""</f>
        <v/>
      </c>
      <c r="K109" s="311" t="n">
        <f aca="false">IF($I109="Critical Importance",20,IF($I109="Minor Importance",5,10))</f>
        <v>5</v>
      </c>
      <c r="L109" s="283" t="n">
        <f aca="false">IF($E109="Not Scored", "N/A",IF(AND($D109='Auto Responses'!$J$27,$H109=""),"N/A",IF(AND($D109='Auto Responses'!$J$27,$H109='Auto Responses'!$J$7),1,IF(AND($D109='Auto Responses'!$J$27,$H109='Auto Responses'!$J$8),0,IF(OR($F109=$G109,$H109='Auto Responses'!$J$7),1,0)))))</f>
        <v>0</v>
      </c>
      <c r="M109" s="311" t="str">
        <f aca="false">VLOOKUP($A109,'Institution Evaluation'!$A$56:$K$346,10,0)&amp;""</f>
        <v/>
      </c>
      <c r="N109" s="311" t="n">
        <f aca="false">IF($J109="Critical Importance",1,IF(AND($J109="",$I109="Critical Importance"),1,0))</f>
        <v>0</v>
      </c>
      <c r="O109" s="283" t="n">
        <f aca="false">IF($E109="Not Scored","N/A",IF($J109="",$K109,IF($J109="Minor Importance",5,IF($J109="Standard Importance",10,IF($J109="Critical Importance",20,0)))))</f>
        <v>5</v>
      </c>
      <c r="P109" s="283" t="n">
        <f aca="false">IF(OR($O109="N/A",$L109="N/A"),"N/A",$O109*$L109)</f>
        <v>0</v>
      </c>
      <c r="Q109" s="283" t="n">
        <f aca="false">IF(M109="TRUE",1,0)</f>
        <v>0</v>
      </c>
      <c r="R109" s="283" t="n">
        <f aca="false">R108+Q109</f>
        <v>0</v>
      </c>
      <c r="S109" s="283" t="n">
        <f aca="false">IF(Q109=0,0,R109)</f>
        <v>0</v>
      </c>
      <c r="T109" s="283" t="n">
        <f aca="false">IF(N109=1,1,0)</f>
        <v>0</v>
      </c>
      <c r="U109" s="283" t="n">
        <f aca="false">U108+T109</f>
        <v>35</v>
      </c>
      <c r="V109" s="283" t="n">
        <f aca="false">IF(T109=0,0,U109)</f>
        <v>0</v>
      </c>
    </row>
    <row r="110" customFormat="false" ht="39.55" hidden="false" customHeight="false" outlineLevel="0" collapsed="false">
      <c r="A110" s="311" t="str">
        <f aca="false">Questions!$A110</f>
        <v>CHNG-15</v>
      </c>
      <c r="B110" s="311" t="str">
        <f aca="false">LEFT(A110,4)</f>
        <v>CHNG</v>
      </c>
      <c r="C110" s="311" t="str">
        <f aca="false">VLOOKUP($A110,Questions!$A$3:$L$333,2,0)&amp;""</f>
        <v>Do procedures exist to provide that emergency changes are documented and authorized (including after-the-fact approval)?</v>
      </c>
      <c r="D110" s="311" t="str">
        <f aca="false">VLOOKUP($A110,Questions!$A$3:$L$333,11,0)&amp;""</f>
        <v/>
      </c>
      <c r="E110" s="311" t="str">
        <f aca="false">VLOOKUP($A110,Questions!$A$3:$L$333,12,0)&amp;""</f>
        <v>Organization</v>
      </c>
      <c r="F110" s="311" t="str">
        <f aca="false">VLOOKUP($A110,'Institution Evaluation'!$A$56:$K$346,3,0)&amp;""</f>
        <v>No</v>
      </c>
      <c r="G110" s="311" t="str">
        <f aca="false">VLOOKUP($A110,'Institution Evaluation'!$A$56:$K$346,7,0)&amp;""</f>
        <v>Yes</v>
      </c>
      <c r="H110" s="311" t="str">
        <f aca="false">VLOOKUP($A110,'Institution Evaluation'!$A$56:$K$346,8,0)&amp;""</f>
        <v/>
      </c>
      <c r="I110" s="311" t="str">
        <f aca="false">VLOOKUP($A110,'Institution Evaluation'!$A$56:$K$346,9,0)&amp;""</f>
        <v>Minor Importance</v>
      </c>
      <c r="J110" s="311" t="str">
        <f aca="false">VLOOKUP($A110,'Institution Evaluation'!$A$56:$K$346,10,0)&amp;""</f>
        <v/>
      </c>
      <c r="K110" s="311" t="n">
        <f aca="false">IF($I110="Critical Importance",20,IF($I110="Minor Importance",5,10))</f>
        <v>5</v>
      </c>
      <c r="L110" s="283" t="n">
        <f aca="false">IF($E110="Not Scored", "N/A",IF(AND($D110='Auto Responses'!$J$27,$H110=""),"N/A",IF(AND($D110='Auto Responses'!$J$27,$H110='Auto Responses'!$J$7),1,IF(AND($D110='Auto Responses'!$J$27,$H110='Auto Responses'!$J$8),0,IF(OR($F110=$G110,$H110='Auto Responses'!$J$7),1,0)))))</f>
        <v>0</v>
      </c>
      <c r="M110" s="311" t="str">
        <f aca="false">VLOOKUP($A110,'Institution Evaluation'!$A$56:$K$346,10,0)&amp;""</f>
        <v/>
      </c>
      <c r="N110" s="311" t="n">
        <f aca="false">IF($J110="Critical Importance",1,IF(AND($J110="",$I110="Critical Importance"),1,0))</f>
        <v>0</v>
      </c>
      <c r="O110" s="283" t="n">
        <f aca="false">IF($E110="Not Scored","N/A",IF($J110="",$K110,IF($J110="Minor Importance",5,IF($J110="Standard Importance",10,IF($J110="Critical Importance",20,0)))))</f>
        <v>5</v>
      </c>
      <c r="P110" s="283" t="n">
        <f aca="false">IF(OR($O110="N/A",$L110="N/A"),"N/A",$O110*$L110)</f>
        <v>0</v>
      </c>
      <c r="Q110" s="283" t="n">
        <f aca="false">IF(M110="TRUE",1,0)</f>
        <v>0</v>
      </c>
      <c r="R110" s="283" t="n">
        <f aca="false">R109+Q110</f>
        <v>0</v>
      </c>
      <c r="S110" s="283" t="n">
        <f aca="false">IF(Q110=0,0,R110)</f>
        <v>0</v>
      </c>
      <c r="T110" s="283" t="n">
        <f aca="false">IF(N110=1,1,0)</f>
        <v>0</v>
      </c>
      <c r="U110" s="283" t="n">
        <f aca="false">U109+T110</f>
        <v>35</v>
      </c>
      <c r="V110" s="283" t="n">
        <f aca="false">IF(T110=0,0,U110)</f>
        <v>0</v>
      </c>
    </row>
    <row r="111" customFormat="false" ht="64.9" hidden="false" customHeight="false" outlineLevel="0" collapsed="false">
      <c r="A111" s="311" t="str">
        <f aca="false">Questions!$A111</f>
        <v>CHNG-16</v>
      </c>
      <c r="B111" s="311" t="str">
        <f aca="false">LEFT(A111,4)</f>
        <v>CHNG</v>
      </c>
      <c r="C111" s="311" t="str">
        <f aca="false">VLOOKUP($A111,Questions!$A$3:$L$333,2,0)&amp;""</f>
        <v>Do you have a systems management and configuration strategy that encompasses servers, appliances, cloud services, applications, and mobile devices (company and employee owned)?</v>
      </c>
      <c r="D111" s="311" t="str">
        <f aca="false">VLOOKUP($A111,Questions!$A$3:$L$333,11,0)&amp;""</f>
        <v/>
      </c>
      <c r="E111" s="311" t="str">
        <f aca="false">VLOOKUP($A111,Questions!$A$3:$L$333,12,0)&amp;""</f>
        <v>Organization</v>
      </c>
      <c r="F111" s="311" t="str">
        <f aca="false">VLOOKUP($A111,'Institution Evaluation'!$A$56:$K$346,3,0)&amp;""</f>
        <v>No</v>
      </c>
      <c r="G111" s="311" t="str">
        <f aca="false">VLOOKUP($A111,'Institution Evaluation'!$A$56:$K$346,7,0)&amp;""</f>
        <v>Yes</v>
      </c>
      <c r="H111" s="311" t="str">
        <f aca="false">VLOOKUP($A111,'Institution Evaluation'!$A$56:$K$346,8,0)&amp;""</f>
        <v/>
      </c>
      <c r="I111" s="311" t="str">
        <f aca="false">VLOOKUP($A111,'Institution Evaluation'!$A$56:$K$346,9,0)&amp;""</f>
        <v>Minor Importance</v>
      </c>
      <c r="J111" s="311" t="str">
        <f aca="false">VLOOKUP($A111,'Institution Evaluation'!$A$56:$K$346,10,0)&amp;""</f>
        <v/>
      </c>
      <c r="K111" s="311" t="n">
        <f aca="false">IF($I111="Critical Importance",20,IF($I111="Minor Importance",5,10))</f>
        <v>5</v>
      </c>
      <c r="L111" s="283" t="n">
        <f aca="false">IF($E111="Not Scored", "N/A",IF(AND($D111='Auto Responses'!$J$27,$H111=""),"N/A",IF(AND($D111='Auto Responses'!$J$27,$H111='Auto Responses'!$J$7),1,IF(AND($D111='Auto Responses'!$J$27,$H111='Auto Responses'!$J$8),0,IF(OR($F111=$G111,$H111='Auto Responses'!$J$7),1,0)))))</f>
        <v>0</v>
      </c>
      <c r="M111" s="311" t="str">
        <f aca="false">VLOOKUP($A111,'Institution Evaluation'!$A$56:$K$346,10,0)&amp;""</f>
        <v/>
      </c>
      <c r="N111" s="311" t="n">
        <f aca="false">IF($J111="Critical Importance",1,IF(AND($J111="",$I111="Critical Importance"),1,0))</f>
        <v>0</v>
      </c>
      <c r="O111" s="283" t="n">
        <f aca="false">IF($E111="Not Scored","N/A",IF($J111="",$K111,IF($J111="Minor Importance",5,IF($J111="Standard Importance",10,IF($J111="Critical Importance",20,0)))))</f>
        <v>5</v>
      </c>
      <c r="P111" s="283" t="n">
        <f aca="false">IF(OR($O111="N/A",$L111="N/A"),"N/A",$O111*$L111)</f>
        <v>0</v>
      </c>
      <c r="Q111" s="283" t="n">
        <f aca="false">IF(M111="TRUE",1,0)</f>
        <v>0</v>
      </c>
      <c r="R111" s="283" t="n">
        <f aca="false">R110+Q111</f>
        <v>0</v>
      </c>
      <c r="S111" s="283" t="n">
        <f aca="false">IF(Q111=0,0,R111)</f>
        <v>0</v>
      </c>
      <c r="T111" s="283" t="n">
        <f aca="false">IF(N111=1,1,0)</f>
        <v>0</v>
      </c>
      <c r="U111" s="283" t="n">
        <f aca="false">U110+T111</f>
        <v>35</v>
      </c>
      <c r="V111" s="283" t="n">
        <f aca="false">IF(T111=0,0,U111)</f>
        <v>0</v>
      </c>
    </row>
    <row r="112" customFormat="false" ht="64.9" hidden="false" customHeight="false" outlineLevel="0" collapsed="false">
      <c r="A112" s="311" t="str">
        <f aca="false">Questions!$A112</f>
        <v>DATA-01</v>
      </c>
      <c r="B112" s="311" t="str">
        <f aca="false">LEFT(A112,4)</f>
        <v>DATA</v>
      </c>
      <c r="C112" s="311" t="str">
        <f aca="false">VLOOKUP($A112,Questions!$A$3:$L$333,2,0)&amp;""</f>
        <v>Will the institution's data be stored on any devices (database servers, file servers, SAN, NAS, etc.) configured with non-RFC 1918/4193 (i.e., publicly routable) IP addresses?*</v>
      </c>
      <c r="D112" s="311" t="str">
        <f aca="false">VLOOKUP($A112,Questions!$A$3:$L$333,11,0)&amp;""</f>
        <v/>
      </c>
      <c r="E112" s="311" t="str">
        <f aca="false">VLOOKUP($A112,Questions!$A$3:$L$333,12,0)&amp;""</f>
        <v>Product</v>
      </c>
      <c r="F112" s="311" t="str">
        <f aca="false">VLOOKUP($A112,'Institution Evaluation'!$A$56:$K$346,3,0)&amp;""</f>
        <v/>
      </c>
      <c r="G112" s="311" t="str">
        <f aca="false">VLOOKUP($A112,'Institution Evaluation'!$A$56:$K$346,7,0)&amp;""</f>
        <v>No</v>
      </c>
      <c r="H112" s="311" t="str">
        <f aca="false">VLOOKUP($A112,'Institution Evaluation'!$A$56:$K$346,8,0)&amp;""</f>
        <v/>
      </c>
      <c r="I112" s="311" t="str">
        <f aca="false">VLOOKUP($A112,'Institution Evaluation'!$A$56:$K$346,9,0)&amp;""</f>
        <v>Critical Importance</v>
      </c>
      <c r="J112" s="311" t="str">
        <f aca="false">VLOOKUP($A112,'Institution Evaluation'!$A$56:$K$346,10,0)&amp;""</f>
        <v/>
      </c>
      <c r="K112" s="311" t="n">
        <f aca="false">IF($I112="Critical Importance",20,IF($I112="Minor Importance",5,10))</f>
        <v>20</v>
      </c>
      <c r="L112" s="283" t="n">
        <f aca="false">IF($E112="Not Scored", "N/A",IF(AND($D112='Auto Responses'!$J$27,$H112=""),"N/A",IF(AND($D112='Auto Responses'!$J$27,$H112='Auto Responses'!$J$7),1,IF(AND($D112='Auto Responses'!$J$27,$H112='Auto Responses'!$J$8),0,IF(OR($F112=$G112,$H112='Auto Responses'!$J$7),1,0)))))</f>
        <v>0</v>
      </c>
      <c r="M112" s="311" t="str">
        <f aca="false">VLOOKUP($A112,'Institution Evaluation'!$A$56:$K$346,10,0)&amp;""</f>
        <v/>
      </c>
      <c r="N112" s="311" t="n">
        <f aca="false">IF($J112="Critical Importance",1,IF(AND($J112="",$I112="Critical Importance"),1,0))</f>
        <v>1</v>
      </c>
      <c r="O112" s="283" t="n">
        <f aca="false">IF($E112="Not Scored","N/A",IF($J112="",$K112,IF($J112="Minor Importance",5,IF($J112="Standard Importance",10,IF($J112="Critical Importance",20,0)))))</f>
        <v>20</v>
      </c>
      <c r="P112" s="283" t="n">
        <f aca="false">IF(OR($O112="N/A",$L112="N/A"),"N/A",$O112*$L112)</f>
        <v>0</v>
      </c>
      <c r="Q112" s="283" t="n">
        <f aca="false">IF(M112="TRUE",1,0)</f>
        <v>0</v>
      </c>
      <c r="R112" s="283" t="n">
        <f aca="false">R111+Q112</f>
        <v>0</v>
      </c>
      <c r="S112" s="283" t="n">
        <f aca="false">IF(Q112=0,0,R112)</f>
        <v>0</v>
      </c>
      <c r="T112" s="283" t="n">
        <f aca="false">IF(N112=1,1,0)</f>
        <v>1</v>
      </c>
      <c r="U112" s="283" t="n">
        <f aca="false">U111+T112</f>
        <v>36</v>
      </c>
      <c r="V112" s="283" t="n">
        <f aca="false">IF(T112=0,0,U112)</f>
        <v>36</v>
      </c>
    </row>
    <row r="113" customFormat="false" ht="39.55" hidden="false" customHeight="false" outlineLevel="0" collapsed="false">
      <c r="A113" s="311" t="str">
        <f aca="false">Questions!$A113</f>
        <v>DATA-02</v>
      </c>
      <c r="B113" s="311" t="str">
        <f aca="false">LEFT(A113,4)</f>
        <v>DATA</v>
      </c>
      <c r="C113" s="311" t="str">
        <f aca="false">VLOOKUP($A113,Questions!$A$3:$L$333,2,0)&amp;""</f>
        <v>Is the transport of sensitive data encrypted using security protocols/algorithms (e.g., system-to-client)?*</v>
      </c>
      <c r="D113" s="311" t="str">
        <f aca="false">VLOOKUP($A113,Questions!$A$3:$L$333,11,0)&amp;""</f>
        <v/>
      </c>
      <c r="E113" s="311" t="str">
        <f aca="false">VLOOKUP($A113,Questions!$A$3:$L$333,12,0)&amp;""</f>
        <v>Product</v>
      </c>
      <c r="F113" s="311" t="str">
        <f aca="false">VLOOKUP($A113,'Institution Evaluation'!$A$56:$K$346,3,0)&amp;""</f>
        <v/>
      </c>
      <c r="G113" s="311" t="str">
        <f aca="false">VLOOKUP($A113,'Institution Evaluation'!$A$56:$K$346,7,0)&amp;""</f>
        <v>Yes</v>
      </c>
      <c r="H113" s="311" t="str">
        <f aca="false">VLOOKUP($A113,'Institution Evaluation'!$A$56:$K$346,8,0)&amp;""</f>
        <v/>
      </c>
      <c r="I113" s="311" t="str">
        <f aca="false">VLOOKUP($A113,'Institution Evaluation'!$A$56:$K$346,9,0)&amp;""</f>
        <v>Critical Importance</v>
      </c>
      <c r="J113" s="311" t="str">
        <f aca="false">VLOOKUP($A113,'Institution Evaluation'!$A$56:$K$346,10,0)&amp;""</f>
        <v/>
      </c>
      <c r="K113" s="311" t="n">
        <f aca="false">IF($I113="Critical Importance",20,IF($I113="Minor Importance",5,10))</f>
        <v>20</v>
      </c>
      <c r="L113" s="283" t="n">
        <f aca="false">IF($E113="Not Scored", "N/A",IF(AND($D113='Auto Responses'!$J$27,$H113=""),"N/A",IF(AND($D113='Auto Responses'!$J$27,$H113='Auto Responses'!$J$7),1,IF(AND($D113='Auto Responses'!$J$27,$H113='Auto Responses'!$J$8),0,IF(OR($F113=$G113,$H113='Auto Responses'!$J$7),1,0)))))</f>
        <v>0</v>
      </c>
      <c r="M113" s="311" t="str">
        <f aca="false">VLOOKUP($A113,'Institution Evaluation'!$A$56:$K$346,10,0)&amp;""</f>
        <v/>
      </c>
      <c r="N113" s="311" t="n">
        <f aca="false">IF($J113="Critical Importance",1,IF(AND($J113="",$I113="Critical Importance"),1,0))</f>
        <v>1</v>
      </c>
      <c r="O113" s="283" t="n">
        <f aca="false">IF($E113="Not Scored","N/A",IF($J113="",$K113,IF($J113="Minor Importance",5,IF($J113="Standard Importance",10,IF($J113="Critical Importance",20,0)))))</f>
        <v>20</v>
      </c>
      <c r="P113" s="283" t="n">
        <f aca="false">IF(OR($O113="N/A",$L113="N/A"),"N/A",$O113*$L113)</f>
        <v>0</v>
      </c>
      <c r="Q113" s="283" t="n">
        <f aca="false">IF(M113="TRUE",1,0)</f>
        <v>0</v>
      </c>
      <c r="R113" s="283" t="n">
        <f aca="false">R112+Q113</f>
        <v>0</v>
      </c>
      <c r="S113" s="283" t="n">
        <f aca="false">IF(Q113=0,0,R113)</f>
        <v>0</v>
      </c>
      <c r="T113" s="283" t="n">
        <f aca="false">IF(N113=1,1,0)</f>
        <v>1</v>
      </c>
      <c r="U113" s="283" t="n">
        <f aca="false">U112+T113</f>
        <v>37</v>
      </c>
      <c r="V113" s="283" t="n">
        <f aca="false">IF(T113=0,0,U113)</f>
        <v>37</v>
      </c>
    </row>
    <row r="114" customFormat="false" ht="52.2" hidden="false" customHeight="false" outlineLevel="0" collapsed="false">
      <c r="A114" s="311" t="str">
        <f aca="false">Questions!$A114</f>
        <v>DATA-03</v>
      </c>
      <c r="B114" s="311" t="str">
        <f aca="false">LEFT(A114,4)</f>
        <v>DATA</v>
      </c>
      <c r="C114" s="311" t="str">
        <f aca="false">VLOOKUP($A114,Questions!$A$3:$L$333,2,0)&amp;""</f>
        <v>Is the storage of sensitive data encrypted using security protocols/algorithms (e.g., disk encryption, at-rest, files, and within a running database)?*</v>
      </c>
      <c r="D114" s="311" t="str">
        <f aca="false">VLOOKUP($A114,Questions!$A$3:$L$333,11,0)&amp;""</f>
        <v/>
      </c>
      <c r="E114" s="311" t="str">
        <f aca="false">VLOOKUP($A114,Questions!$A$3:$L$333,12,0)&amp;""</f>
        <v>Product</v>
      </c>
      <c r="F114" s="311" t="str">
        <f aca="false">VLOOKUP($A114,'Institution Evaluation'!$A$56:$K$346,3,0)&amp;""</f>
        <v/>
      </c>
      <c r="G114" s="311" t="str">
        <f aca="false">VLOOKUP($A114,'Institution Evaluation'!$A$56:$K$346,7,0)&amp;""</f>
        <v>Yes</v>
      </c>
      <c r="H114" s="311" t="str">
        <f aca="false">VLOOKUP($A114,'Institution Evaluation'!$A$56:$K$346,8,0)&amp;""</f>
        <v/>
      </c>
      <c r="I114" s="311" t="str">
        <f aca="false">VLOOKUP($A114,'Institution Evaluation'!$A$56:$K$346,9,0)&amp;""</f>
        <v>Critical Importance</v>
      </c>
      <c r="J114" s="311" t="str">
        <f aca="false">VLOOKUP($A114,'Institution Evaluation'!$A$56:$K$346,10,0)&amp;""</f>
        <v/>
      </c>
      <c r="K114" s="311" t="n">
        <f aca="false">IF($I114="Critical Importance",20,IF($I114="Minor Importance",5,10))</f>
        <v>20</v>
      </c>
      <c r="L114" s="283" t="n">
        <f aca="false">IF($E114="Not Scored", "N/A",IF(AND($D114='Auto Responses'!$J$27,$H114=""),"N/A",IF(AND($D114='Auto Responses'!$J$27,$H114='Auto Responses'!$J$7),1,IF(AND($D114='Auto Responses'!$J$27,$H114='Auto Responses'!$J$8),0,IF(OR($F114=$G114,$H114='Auto Responses'!$J$7),1,0)))))</f>
        <v>0</v>
      </c>
      <c r="M114" s="311" t="str">
        <f aca="false">VLOOKUP($A114,'Institution Evaluation'!$A$56:$K$346,10,0)&amp;""</f>
        <v/>
      </c>
      <c r="N114" s="311" t="n">
        <f aca="false">IF($J114="Critical Importance",1,IF(AND($J114="",$I114="Critical Importance"),1,0))</f>
        <v>1</v>
      </c>
      <c r="O114" s="283" t="n">
        <f aca="false">IF($E114="Not Scored","N/A",IF($J114="",$K114,IF($J114="Minor Importance",5,IF($J114="Standard Importance",10,IF($J114="Critical Importance",20,0)))))</f>
        <v>20</v>
      </c>
      <c r="P114" s="283" t="n">
        <f aca="false">IF(OR($O114="N/A",$L114="N/A"),"N/A",$O114*$L114)</f>
        <v>0</v>
      </c>
      <c r="Q114" s="283" t="n">
        <f aca="false">IF(M114="TRUE",1,0)</f>
        <v>0</v>
      </c>
      <c r="R114" s="283" t="n">
        <f aca="false">R113+Q114</f>
        <v>0</v>
      </c>
      <c r="S114" s="283" t="n">
        <f aca="false">IF(Q114=0,0,R114)</f>
        <v>0</v>
      </c>
      <c r="T114" s="283" t="n">
        <f aca="false">IF(N114=1,1,0)</f>
        <v>1</v>
      </c>
      <c r="U114" s="283" t="n">
        <f aca="false">U113+T114</f>
        <v>38</v>
      </c>
      <c r="V114" s="283" t="n">
        <f aca="false">IF(T114=0,0,U114)</f>
        <v>38</v>
      </c>
    </row>
    <row r="115" customFormat="false" ht="52.2" hidden="false" customHeight="false" outlineLevel="0" collapsed="false">
      <c r="A115" s="311" t="str">
        <f aca="false">Questions!$A115</f>
        <v>DATA-04</v>
      </c>
      <c r="B115" s="311" t="str">
        <f aca="false">LEFT(A115,4)</f>
        <v>DATA</v>
      </c>
      <c r="C115" s="311" t="str">
        <f aca="false">VLOOKUP($A115,Questions!$A$3:$L$333,2,0)&amp;""</f>
        <v>Do all cryptographic modules in use in your solution conform to the Federal Information Processing Standards (FIPS PUB 140-2 or 140-3)?*</v>
      </c>
      <c r="D115" s="311" t="str">
        <f aca="false">VLOOKUP($A115,Questions!$A$3:$L$333,11,0)&amp;""</f>
        <v/>
      </c>
      <c r="E115" s="311" t="str">
        <f aca="false">VLOOKUP($A115,Questions!$A$3:$L$333,12,0)&amp;""</f>
        <v>Product</v>
      </c>
      <c r="F115" s="311" t="str">
        <f aca="false">VLOOKUP($A115,'Institution Evaluation'!$A$56:$K$346,3,0)&amp;""</f>
        <v/>
      </c>
      <c r="G115" s="311" t="str">
        <f aca="false">VLOOKUP($A115,'Institution Evaluation'!$A$56:$K$346,7,0)&amp;""</f>
        <v>Yes</v>
      </c>
      <c r="H115" s="311" t="str">
        <f aca="false">VLOOKUP($A115,'Institution Evaluation'!$A$56:$K$346,8,0)&amp;""</f>
        <v/>
      </c>
      <c r="I115" s="311" t="str">
        <f aca="false">VLOOKUP($A115,'Institution Evaluation'!$A$56:$K$346,9,0)&amp;""</f>
        <v>Critical Importance</v>
      </c>
      <c r="J115" s="311" t="str">
        <f aca="false">VLOOKUP($A115,'Institution Evaluation'!$A$56:$K$346,10,0)&amp;""</f>
        <v/>
      </c>
      <c r="K115" s="311" t="n">
        <f aca="false">IF($I115="Critical Importance",20,IF($I115="Minor Importance",5,10))</f>
        <v>20</v>
      </c>
      <c r="L115" s="283" t="n">
        <f aca="false">IF($E115="Not Scored", "N/A",IF(AND($D115='Auto Responses'!$J$27,$H115=""),"N/A",IF(AND($D115='Auto Responses'!$J$27,$H115='Auto Responses'!$J$7),1,IF(AND($D115='Auto Responses'!$J$27,$H115='Auto Responses'!$J$8),0,IF(OR($F115=$G115,$H115='Auto Responses'!$J$7),1,0)))))</f>
        <v>0</v>
      </c>
      <c r="M115" s="311" t="str">
        <f aca="false">VLOOKUP($A115,'Institution Evaluation'!$A$56:$K$346,10,0)&amp;""</f>
        <v/>
      </c>
      <c r="N115" s="311" t="n">
        <f aca="false">IF($J115="Critical Importance",1,IF(AND($J115="",$I115="Critical Importance"),1,0))</f>
        <v>1</v>
      </c>
      <c r="O115" s="283" t="n">
        <f aca="false">IF($E115="Not Scored","N/A",IF($J115="",$K115,IF($J115="Minor Importance",5,IF($J115="Standard Importance",10,IF($J115="Critical Importance",20,0)))))</f>
        <v>20</v>
      </c>
      <c r="P115" s="283" t="n">
        <f aca="false">IF(OR($O115="N/A",$L115="N/A"),"N/A",$O115*$L115)</f>
        <v>0</v>
      </c>
      <c r="Q115" s="283" t="n">
        <f aca="false">IF(M115="TRUE",1,0)</f>
        <v>0</v>
      </c>
      <c r="R115" s="283" t="n">
        <f aca="false">R114+Q115</f>
        <v>0</v>
      </c>
      <c r="S115" s="283" t="n">
        <f aca="false">IF(Q115=0,0,R115)</f>
        <v>0</v>
      </c>
      <c r="T115" s="283" t="n">
        <f aca="false">IF(N115=1,1,0)</f>
        <v>1</v>
      </c>
      <c r="U115" s="283" t="n">
        <f aca="false">U114+T115</f>
        <v>39</v>
      </c>
      <c r="V115" s="283" t="n">
        <f aca="false">IF(T115=0,0,U115)</f>
        <v>39</v>
      </c>
    </row>
    <row r="116" customFormat="false" ht="39.55" hidden="false" customHeight="false" outlineLevel="0" collapsed="false">
      <c r="A116" s="311" t="str">
        <f aca="false">Questions!$A116</f>
        <v>DATA-05</v>
      </c>
      <c r="B116" s="311" t="str">
        <f aca="false">LEFT(A116,4)</f>
        <v>DATA</v>
      </c>
      <c r="C116" s="311" t="str">
        <f aca="false">VLOOKUP($A116,Questions!$A$3:$L$333,2,0)&amp;""</f>
        <v>Will the institution's data be available within the system for a period of time at the completion of this contract?*</v>
      </c>
      <c r="D116" s="311" t="str">
        <f aca="false">VLOOKUP($A116,Questions!$A$3:$L$333,11,0)&amp;""</f>
        <v/>
      </c>
      <c r="E116" s="311" t="str">
        <f aca="false">VLOOKUP($A116,Questions!$A$3:$L$333,12,0)&amp;""</f>
        <v>Product</v>
      </c>
      <c r="F116" s="311" t="str">
        <f aca="false">VLOOKUP($A116,'Institution Evaluation'!$A$56:$K$346,3,0)&amp;""</f>
        <v/>
      </c>
      <c r="G116" s="311" t="str">
        <f aca="false">VLOOKUP($A116,'Institution Evaluation'!$A$56:$K$346,7,0)&amp;""</f>
        <v>Yes</v>
      </c>
      <c r="H116" s="311" t="str">
        <f aca="false">VLOOKUP($A116,'Institution Evaluation'!$A$56:$K$346,8,0)&amp;""</f>
        <v/>
      </c>
      <c r="I116" s="311" t="str">
        <f aca="false">VLOOKUP($A116,'Institution Evaluation'!$A$56:$K$346,9,0)&amp;""</f>
        <v>Critical Importance</v>
      </c>
      <c r="J116" s="311" t="str">
        <f aca="false">VLOOKUP($A116,'Institution Evaluation'!$A$56:$K$346,10,0)&amp;""</f>
        <v/>
      </c>
      <c r="K116" s="311" t="n">
        <f aca="false">IF($I116="Critical Importance",20,IF($I116="Minor Importance",5,10))</f>
        <v>20</v>
      </c>
      <c r="L116" s="283" t="n">
        <f aca="false">IF($E116="Not Scored", "N/A",IF(AND($D116='Auto Responses'!$J$27,$H116=""),"N/A",IF(AND($D116='Auto Responses'!$J$27,$H116='Auto Responses'!$J$7),1,IF(AND($D116='Auto Responses'!$J$27,$H116='Auto Responses'!$J$8),0,IF(OR($F116=$G116,$H116='Auto Responses'!$J$7),1,0)))))</f>
        <v>0</v>
      </c>
      <c r="M116" s="311" t="str">
        <f aca="false">VLOOKUP($A116,'Institution Evaluation'!$A$56:$K$346,10,0)&amp;""</f>
        <v/>
      </c>
      <c r="N116" s="311" t="n">
        <f aca="false">IF($J116="Critical Importance",1,IF(AND($J116="",$I116="Critical Importance"),1,0))</f>
        <v>1</v>
      </c>
      <c r="O116" s="283" t="n">
        <f aca="false">IF($E116="Not Scored","N/A",IF($J116="",$K116,IF($J116="Minor Importance",5,IF($J116="Standard Importance",10,IF($J116="Critical Importance",20,0)))))</f>
        <v>20</v>
      </c>
      <c r="P116" s="283" t="n">
        <f aca="false">IF(OR($O116="N/A",$L116="N/A"),"N/A",$O116*$L116)</f>
        <v>0</v>
      </c>
      <c r="Q116" s="283" t="n">
        <f aca="false">IF(M116="TRUE",1,0)</f>
        <v>0</v>
      </c>
      <c r="R116" s="283" t="n">
        <f aca="false">R115+Q116</f>
        <v>0</v>
      </c>
      <c r="S116" s="283" t="n">
        <f aca="false">IF(Q116=0,0,R116)</f>
        <v>0</v>
      </c>
      <c r="T116" s="283" t="n">
        <f aca="false">IF(N116=1,1,0)</f>
        <v>1</v>
      </c>
      <c r="U116" s="283" t="n">
        <f aca="false">U115+T116</f>
        <v>40</v>
      </c>
      <c r="V116" s="283" t="n">
        <f aca="false">IF(T116=0,0,U116)</f>
        <v>40</v>
      </c>
    </row>
    <row r="117" customFormat="false" ht="39.55" hidden="false" customHeight="false" outlineLevel="0" collapsed="false">
      <c r="A117" s="311" t="str">
        <f aca="false">Questions!$A117</f>
        <v>DATA-06</v>
      </c>
      <c r="B117" s="311" t="str">
        <f aca="false">LEFT(A117,4)</f>
        <v>DATA</v>
      </c>
      <c r="C117" s="311" t="str">
        <f aca="false">VLOOKUP($A117,Questions!$A$3:$L$333,2,0)&amp;""</f>
        <v>Are ownership rights to all data, inputs, outputs, and metadata retained even through a provider acquisition or bankruptcy event?*</v>
      </c>
      <c r="D117" s="311" t="str">
        <f aca="false">VLOOKUP($A117,Questions!$A$3:$L$333,11,0)&amp;""</f>
        <v/>
      </c>
      <c r="E117" s="311" t="str">
        <f aca="false">VLOOKUP($A117,Questions!$A$3:$L$333,12,0)&amp;""</f>
        <v>Product</v>
      </c>
      <c r="F117" s="311" t="str">
        <f aca="false">VLOOKUP($A117,'Institution Evaluation'!$A$56:$K$346,3,0)&amp;""</f>
        <v/>
      </c>
      <c r="G117" s="311" t="str">
        <f aca="false">VLOOKUP($A117,'Institution Evaluation'!$A$56:$K$346,7,0)&amp;""</f>
        <v>Yes</v>
      </c>
      <c r="H117" s="311" t="str">
        <f aca="false">VLOOKUP($A117,'Institution Evaluation'!$A$56:$K$346,8,0)&amp;""</f>
        <v/>
      </c>
      <c r="I117" s="311" t="str">
        <f aca="false">VLOOKUP($A117,'Institution Evaluation'!$A$56:$K$346,9,0)&amp;""</f>
        <v>Critical Importance</v>
      </c>
      <c r="J117" s="311" t="str">
        <f aca="false">VLOOKUP($A117,'Institution Evaluation'!$A$56:$K$346,10,0)&amp;""</f>
        <v/>
      </c>
      <c r="K117" s="311" t="n">
        <f aca="false">IF($I117="Critical Importance",20,IF($I117="Minor Importance",5,10))</f>
        <v>20</v>
      </c>
      <c r="L117" s="283" t="n">
        <f aca="false">IF($E117="Not Scored", "N/A",IF(AND($D117='Auto Responses'!$J$27,$H117=""),"N/A",IF(AND($D117='Auto Responses'!$J$27,$H117='Auto Responses'!$J$7),1,IF(AND($D117='Auto Responses'!$J$27,$H117='Auto Responses'!$J$8),0,IF(OR($F117=$G117,$H117='Auto Responses'!$J$7),1,0)))))</f>
        <v>0</v>
      </c>
      <c r="M117" s="311" t="str">
        <f aca="false">VLOOKUP($A117,'Institution Evaluation'!$A$56:$K$346,10,0)&amp;""</f>
        <v/>
      </c>
      <c r="N117" s="311" t="n">
        <f aca="false">IF($J117="Critical Importance",1,IF(AND($J117="",$I117="Critical Importance"),1,0))</f>
        <v>1</v>
      </c>
      <c r="O117" s="283" t="n">
        <f aca="false">IF($E117="Not Scored","N/A",IF($J117="",$K117,IF($J117="Minor Importance",5,IF($J117="Standard Importance",10,IF($J117="Critical Importance",20,0)))))</f>
        <v>20</v>
      </c>
      <c r="P117" s="283" t="n">
        <f aca="false">IF(OR($O117="N/A",$L117="N/A"),"N/A",$O117*$L117)</f>
        <v>0</v>
      </c>
      <c r="Q117" s="283" t="n">
        <f aca="false">IF(M117="TRUE",1,0)</f>
        <v>0</v>
      </c>
      <c r="R117" s="283" t="n">
        <f aca="false">R116+Q117</f>
        <v>0</v>
      </c>
      <c r="S117" s="283" t="n">
        <f aca="false">IF(Q117=0,0,R117)</f>
        <v>0</v>
      </c>
      <c r="T117" s="283" t="n">
        <f aca="false">IF(N117=1,1,0)</f>
        <v>1</v>
      </c>
      <c r="U117" s="283" t="n">
        <f aca="false">U116+T117</f>
        <v>41</v>
      </c>
      <c r="V117" s="283" t="n">
        <f aca="false">IF(T117=0,0,U117)</f>
        <v>41</v>
      </c>
    </row>
    <row r="118" customFormat="false" ht="39.55" hidden="false" customHeight="false" outlineLevel="0" collapsed="false">
      <c r="A118" s="311" t="str">
        <f aca="false">Questions!$A118</f>
        <v>DATA-07</v>
      </c>
      <c r="B118" s="311" t="str">
        <f aca="false">LEFT(A118,4)</f>
        <v>DATA</v>
      </c>
      <c r="C118" s="311" t="str">
        <f aca="false">VLOOKUP($A118,Questions!$A$3:$L$333,2,0)&amp;""</f>
        <v>Do backups containing the institution's data ever leave the institution's data zone either physically or via network routing?*</v>
      </c>
      <c r="D118" s="311" t="str">
        <f aca="false">VLOOKUP($A118,Questions!$A$3:$L$333,11,0)&amp;""</f>
        <v/>
      </c>
      <c r="E118" s="311" t="str">
        <f aca="false">VLOOKUP($A118,Questions!$A$3:$L$333,12,0)&amp;""</f>
        <v>Product</v>
      </c>
      <c r="F118" s="311" t="str">
        <f aca="false">VLOOKUP($A118,'Institution Evaluation'!$A$56:$K$346,3,0)&amp;""</f>
        <v/>
      </c>
      <c r="G118" s="311" t="str">
        <f aca="false">VLOOKUP($A118,'Institution Evaluation'!$A$56:$K$346,7,0)&amp;""</f>
        <v>No</v>
      </c>
      <c r="H118" s="311" t="str">
        <f aca="false">VLOOKUP($A118,'Institution Evaluation'!$A$56:$K$346,8,0)&amp;""</f>
        <v/>
      </c>
      <c r="I118" s="311" t="str">
        <f aca="false">VLOOKUP($A118,'Institution Evaluation'!$A$56:$K$346,9,0)&amp;""</f>
        <v>Critical Importance</v>
      </c>
      <c r="J118" s="311" t="str">
        <f aca="false">VLOOKUP($A118,'Institution Evaluation'!$A$56:$K$346,10,0)&amp;""</f>
        <v/>
      </c>
      <c r="K118" s="311" t="n">
        <f aca="false">IF($I118="Critical Importance",20,IF($I118="Minor Importance",5,10))</f>
        <v>20</v>
      </c>
      <c r="L118" s="283" t="n">
        <f aca="false">IF($E118="Not Scored", "N/A",IF(AND($D118='Auto Responses'!$J$27,$H118=""),"N/A",IF(AND($D118='Auto Responses'!$J$27,$H118='Auto Responses'!$J$7),1,IF(AND($D118='Auto Responses'!$J$27,$H118='Auto Responses'!$J$8),0,IF(OR($F118=$G118,$H118='Auto Responses'!$J$7),1,0)))))</f>
        <v>0</v>
      </c>
      <c r="M118" s="311" t="str">
        <f aca="false">VLOOKUP($A118,'Institution Evaluation'!$A$56:$K$346,10,0)&amp;""</f>
        <v/>
      </c>
      <c r="N118" s="311" t="n">
        <f aca="false">IF($J118="Critical Importance",1,IF(AND($J118="",$I118="Critical Importance"),1,0))</f>
        <v>1</v>
      </c>
      <c r="O118" s="283" t="n">
        <f aca="false">IF($E118="Not Scored","N/A",IF($J118="",$K118,IF($J118="Minor Importance",5,IF($J118="Standard Importance",10,IF($J118="Critical Importance",20,0)))))</f>
        <v>20</v>
      </c>
      <c r="P118" s="283" t="n">
        <f aca="false">IF(OR($O118="N/A",$L118="N/A"),"N/A",$O118*$L118)</f>
        <v>0</v>
      </c>
      <c r="Q118" s="283" t="n">
        <f aca="false">IF(M118="TRUE",1,0)</f>
        <v>0</v>
      </c>
      <c r="R118" s="283" t="n">
        <f aca="false">R117+Q118</f>
        <v>0</v>
      </c>
      <c r="S118" s="283" t="n">
        <f aca="false">IF(Q118=0,0,R118)</f>
        <v>0</v>
      </c>
      <c r="T118" s="283" t="n">
        <f aca="false">IF(N118=1,1,0)</f>
        <v>1</v>
      </c>
      <c r="U118" s="283" t="n">
        <f aca="false">U117+T118</f>
        <v>42</v>
      </c>
      <c r="V118" s="283" t="n">
        <f aca="false">IF(T118=0,0,U118)</f>
        <v>42</v>
      </c>
    </row>
    <row r="119" customFormat="false" ht="39.55" hidden="false" customHeight="false" outlineLevel="0" collapsed="false">
      <c r="A119" s="311" t="str">
        <f aca="false">Questions!$A119</f>
        <v>DATA-08</v>
      </c>
      <c r="B119" s="311" t="str">
        <f aca="false">LEFT(A119,4)</f>
        <v>DATA</v>
      </c>
      <c r="C119" s="311" t="str">
        <f aca="false">VLOOKUP($A119,Questions!$A$3:$L$333,2,0)&amp;""</f>
        <v>Is media used for long-term retention of business data and archival purposes stored in a secure, environmentally protected area?*</v>
      </c>
      <c r="D119" s="311" t="str">
        <f aca="false">VLOOKUP($A119,Questions!$A$3:$L$333,11,0)&amp;""</f>
        <v/>
      </c>
      <c r="E119" s="311" t="str">
        <f aca="false">VLOOKUP($A119,Questions!$A$3:$L$333,12,0)&amp;""</f>
        <v>Product</v>
      </c>
      <c r="F119" s="311" t="str">
        <f aca="false">VLOOKUP($A119,'Institution Evaluation'!$A$56:$K$346,3,0)&amp;""</f>
        <v/>
      </c>
      <c r="G119" s="311" t="str">
        <f aca="false">VLOOKUP($A119,'Institution Evaluation'!$A$56:$K$346,7,0)&amp;""</f>
        <v>Yes</v>
      </c>
      <c r="H119" s="311" t="str">
        <f aca="false">VLOOKUP($A119,'Institution Evaluation'!$A$56:$K$346,8,0)&amp;""</f>
        <v/>
      </c>
      <c r="I119" s="311" t="str">
        <f aca="false">VLOOKUP($A119,'Institution Evaluation'!$A$56:$K$346,9,0)&amp;""</f>
        <v>Critical Importance</v>
      </c>
      <c r="J119" s="311" t="str">
        <f aca="false">VLOOKUP($A119,'Institution Evaluation'!$A$56:$K$346,10,0)&amp;""</f>
        <v/>
      </c>
      <c r="K119" s="311" t="n">
        <f aca="false">IF($I119="Critical Importance",20,IF($I119="Minor Importance",5,10))</f>
        <v>20</v>
      </c>
      <c r="L119" s="283" t="n">
        <f aca="false">IF($E119="Not Scored", "N/A",IF(AND($D119='Auto Responses'!$J$27,$H119=""),"N/A",IF(AND($D119='Auto Responses'!$J$27,$H119='Auto Responses'!$J$7),1,IF(AND($D119='Auto Responses'!$J$27,$H119='Auto Responses'!$J$8),0,IF(OR($F119=$G119,$H119='Auto Responses'!$J$7),1,0)))))</f>
        <v>0</v>
      </c>
      <c r="M119" s="311" t="str">
        <f aca="false">VLOOKUP($A119,'Institution Evaluation'!$A$56:$K$346,10,0)&amp;""</f>
        <v/>
      </c>
      <c r="N119" s="311" t="n">
        <f aca="false">IF($J119="Critical Importance",1,IF(AND($J119="",$I119="Critical Importance"),1,0))</f>
        <v>1</v>
      </c>
      <c r="O119" s="283" t="n">
        <f aca="false">IF($E119="Not Scored","N/A",IF($J119="",$K119,IF($J119="Minor Importance",5,IF($J119="Standard Importance",10,IF($J119="Critical Importance",20,0)))))</f>
        <v>20</v>
      </c>
      <c r="P119" s="283" t="n">
        <f aca="false">IF(OR($O119="N/A",$L119="N/A"),"N/A",$O119*$L119)</f>
        <v>0</v>
      </c>
      <c r="Q119" s="283" t="n">
        <f aca="false">IF(M119="TRUE",1,0)</f>
        <v>0</v>
      </c>
      <c r="R119" s="283" t="n">
        <f aca="false">R118+Q119</f>
        <v>0</v>
      </c>
      <c r="S119" s="283" t="n">
        <f aca="false">IF(Q119=0,0,R119)</f>
        <v>0</v>
      </c>
      <c r="T119" s="283" t="n">
        <f aca="false">IF(N119=1,1,0)</f>
        <v>1</v>
      </c>
      <c r="U119" s="283" t="n">
        <f aca="false">U118+T119</f>
        <v>43</v>
      </c>
      <c r="V119" s="283" t="n">
        <f aca="false">IF(T119=0,0,U119)</f>
        <v>43</v>
      </c>
    </row>
    <row r="120" customFormat="false" ht="39.55" hidden="false" customHeight="false" outlineLevel="0" collapsed="false">
      <c r="A120" s="311" t="str">
        <f aca="false">Questions!$A120</f>
        <v>DATA-09</v>
      </c>
      <c r="B120" s="311" t="str">
        <f aca="false">LEFT(A120,4)</f>
        <v>DATA</v>
      </c>
      <c r="C120" s="311" t="str">
        <f aca="false">VLOOKUP($A120,Questions!$A$3:$L$333,2,0)&amp;""</f>
        <v>At the completion of this contract, will data be returned to the institution and/or deleted from all your systems and archives?</v>
      </c>
      <c r="D120" s="311" t="str">
        <f aca="false">VLOOKUP($A120,Questions!$A$3:$L$333,11,0)&amp;""</f>
        <v/>
      </c>
      <c r="E120" s="311" t="str">
        <f aca="false">VLOOKUP($A120,Questions!$A$3:$L$333,12,0)&amp;""</f>
        <v>Product</v>
      </c>
      <c r="F120" s="311" t="str">
        <f aca="false">VLOOKUP($A120,'Institution Evaluation'!$A$56:$K$346,3,0)&amp;""</f>
        <v/>
      </c>
      <c r="G120" s="311" t="str">
        <f aca="false">VLOOKUP($A120,'Institution Evaluation'!$A$56:$K$346,7,0)&amp;""</f>
        <v>Yes</v>
      </c>
      <c r="H120" s="311" t="str">
        <f aca="false">VLOOKUP($A120,'Institution Evaluation'!$A$56:$K$346,8,0)&amp;""</f>
        <v/>
      </c>
      <c r="I120" s="311" t="str">
        <f aca="false">VLOOKUP($A120,'Institution Evaluation'!$A$56:$K$346,9,0)&amp;""</f>
        <v>Standard Importance</v>
      </c>
      <c r="J120" s="311" t="str">
        <f aca="false">VLOOKUP($A120,'Institution Evaluation'!$A$56:$K$346,10,0)&amp;""</f>
        <v/>
      </c>
      <c r="K120" s="311" t="n">
        <f aca="false">IF($I120="Critical Importance",20,IF($I120="Minor Importance",5,10))</f>
        <v>10</v>
      </c>
      <c r="L120" s="283" t="n">
        <f aca="false">IF($E120="Not Scored", "N/A",IF(AND($D120='Auto Responses'!$J$27,$H120=""),"N/A",IF(AND($D120='Auto Responses'!$J$27,$H120='Auto Responses'!$J$7),1,IF(AND($D120='Auto Responses'!$J$27,$H120='Auto Responses'!$J$8),0,IF(OR($F120=$G120,$H120='Auto Responses'!$J$7),1,0)))))</f>
        <v>0</v>
      </c>
      <c r="M120" s="311" t="str">
        <f aca="false">VLOOKUP($A120,'Institution Evaluation'!$A$56:$K$346,10,0)&amp;""</f>
        <v/>
      </c>
      <c r="N120" s="311" t="n">
        <f aca="false">IF($J120="Critical Importance",1,IF(AND($J120="",$I120="Critical Importance"),1,0))</f>
        <v>0</v>
      </c>
      <c r="O120" s="283" t="n">
        <f aca="false">IF($E120="Not Scored","N/A",IF($J120="",$K120,IF($J120="Minor Importance",5,IF($J120="Standard Importance",10,IF($J120="Critical Importance",20,0)))))</f>
        <v>10</v>
      </c>
      <c r="P120" s="283" t="n">
        <f aca="false">IF(OR($O120="N/A",$L120="N/A"),"N/A",$O120*$L120)</f>
        <v>0</v>
      </c>
      <c r="Q120" s="283" t="n">
        <f aca="false">IF(M120="TRUE",1,0)</f>
        <v>0</v>
      </c>
      <c r="R120" s="283" t="n">
        <f aca="false">R119+Q120</f>
        <v>0</v>
      </c>
      <c r="S120" s="283" t="n">
        <f aca="false">IF(Q120=0,0,R120)</f>
        <v>0</v>
      </c>
      <c r="T120" s="283" t="n">
        <f aca="false">IF(N120=1,1,0)</f>
        <v>0</v>
      </c>
      <c r="U120" s="283" t="n">
        <f aca="false">U119+T120</f>
        <v>43</v>
      </c>
      <c r="V120" s="283" t="n">
        <f aca="false">IF(T120=0,0,U120)</f>
        <v>0</v>
      </c>
    </row>
    <row r="121" customFormat="false" ht="26.85" hidden="false" customHeight="false" outlineLevel="0" collapsed="false">
      <c r="A121" s="311" t="str">
        <f aca="false">Questions!$A121</f>
        <v>DATA-10</v>
      </c>
      <c r="B121" s="311" t="str">
        <f aca="false">LEFT(A121,4)</f>
        <v>DATA</v>
      </c>
      <c r="C121" s="311" t="str">
        <f aca="false">VLOOKUP($A121,Questions!$A$3:$L$333,2,0)&amp;""</f>
        <v>Can the institution extract a full or partial backup of data?</v>
      </c>
      <c r="D121" s="311" t="str">
        <f aca="false">VLOOKUP($A121,Questions!$A$3:$L$333,11,0)&amp;""</f>
        <v/>
      </c>
      <c r="E121" s="311" t="str">
        <f aca="false">VLOOKUP($A121,Questions!$A$3:$L$333,12,0)&amp;""</f>
        <v>Product</v>
      </c>
      <c r="F121" s="311" t="str">
        <f aca="false">VLOOKUP($A121,'Institution Evaluation'!$A$56:$K$346,3,0)&amp;""</f>
        <v/>
      </c>
      <c r="G121" s="311" t="str">
        <f aca="false">VLOOKUP($A121,'Institution Evaluation'!$A$56:$K$346,7,0)&amp;""</f>
        <v>Yes</v>
      </c>
      <c r="H121" s="311" t="str">
        <f aca="false">VLOOKUP($A121,'Institution Evaluation'!$A$56:$K$346,8,0)&amp;""</f>
        <v/>
      </c>
      <c r="I121" s="311" t="str">
        <f aca="false">VLOOKUP($A121,'Institution Evaluation'!$A$56:$K$346,9,0)&amp;""</f>
        <v>Standard Importance</v>
      </c>
      <c r="J121" s="311" t="str">
        <f aca="false">VLOOKUP($A121,'Institution Evaluation'!$A$56:$K$346,10,0)&amp;""</f>
        <v/>
      </c>
      <c r="K121" s="311" t="n">
        <f aca="false">IF($I121="Critical Importance",20,IF($I121="Minor Importance",5,10))</f>
        <v>10</v>
      </c>
      <c r="L121" s="283" t="n">
        <f aca="false">IF($E121="Not Scored", "N/A",IF(AND($D121='Auto Responses'!$J$27,$H121=""),"N/A",IF(AND($D121='Auto Responses'!$J$27,$H121='Auto Responses'!$J$7),1,IF(AND($D121='Auto Responses'!$J$27,$H121='Auto Responses'!$J$8),0,IF(OR($F121=$G121,$H121='Auto Responses'!$J$7),1,0)))))</f>
        <v>0</v>
      </c>
      <c r="M121" s="311" t="str">
        <f aca="false">VLOOKUP($A121,'Institution Evaluation'!$A$56:$K$346,10,0)&amp;""</f>
        <v/>
      </c>
      <c r="N121" s="311" t="n">
        <f aca="false">IF($J121="Critical Importance",1,IF(AND($J121="",$I121="Critical Importance"),1,0))</f>
        <v>0</v>
      </c>
      <c r="O121" s="283" t="n">
        <f aca="false">IF($E121="Not Scored","N/A",IF($J121="",$K121,IF($J121="Minor Importance",5,IF($J121="Standard Importance",10,IF($J121="Critical Importance",20,0)))))</f>
        <v>10</v>
      </c>
      <c r="P121" s="283" t="n">
        <f aca="false">IF(OR($O121="N/A",$L121="N/A"),"N/A",$O121*$L121)</f>
        <v>0</v>
      </c>
      <c r="Q121" s="283" t="n">
        <f aca="false">IF(M121="TRUE",1,0)</f>
        <v>0</v>
      </c>
      <c r="R121" s="283" t="n">
        <f aca="false">R120+Q121</f>
        <v>0</v>
      </c>
      <c r="S121" s="283" t="n">
        <f aca="false">IF(Q121=0,0,R121)</f>
        <v>0</v>
      </c>
      <c r="T121" s="283" t="n">
        <f aca="false">IF(N121=1,1,0)</f>
        <v>0</v>
      </c>
      <c r="U121" s="283" t="n">
        <f aca="false">U120+T121</f>
        <v>43</v>
      </c>
      <c r="V121" s="283" t="n">
        <f aca="false">IF(T121=0,0,U121)</f>
        <v>0</v>
      </c>
    </row>
    <row r="122" customFormat="false" ht="52.2" hidden="false" customHeight="false" outlineLevel="0" collapsed="false">
      <c r="A122" s="311" t="str">
        <f aca="false">Questions!$A122</f>
        <v>DATA-11</v>
      </c>
      <c r="B122" s="311" t="str">
        <f aca="false">LEFT(A122,4)</f>
        <v>DATA</v>
      </c>
      <c r="C122" s="311" t="str">
        <f aca="false">VLOOKUP($A122,Questions!$A$3:$L$333,2,0)&amp;""</f>
        <v>Do current backups include all operating system software, utilities, security software, application software, and data files necessary for recovery?</v>
      </c>
      <c r="D122" s="311" t="str">
        <f aca="false">VLOOKUP($A122,Questions!$A$3:$L$333,11,0)&amp;""</f>
        <v/>
      </c>
      <c r="E122" s="311" t="str">
        <f aca="false">VLOOKUP($A122,Questions!$A$3:$L$333,12,0)&amp;""</f>
        <v>Product</v>
      </c>
      <c r="F122" s="311" t="str">
        <f aca="false">VLOOKUP($A122,'Institution Evaluation'!$A$56:$K$346,3,0)&amp;""</f>
        <v/>
      </c>
      <c r="G122" s="311" t="str">
        <f aca="false">VLOOKUP($A122,'Institution Evaluation'!$A$56:$K$346,7,0)&amp;""</f>
        <v>Yes</v>
      </c>
      <c r="H122" s="311" t="str">
        <f aca="false">VLOOKUP($A122,'Institution Evaluation'!$A$56:$K$346,8,0)&amp;""</f>
        <v/>
      </c>
      <c r="I122" s="311" t="str">
        <f aca="false">VLOOKUP($A122,'Institution Evaluation'!$A$56:$K$346,9,0)&amp;""</f>
        <v>Standard Importance</v>
      </c>
      <c r="J122" s="311" t="str">
        <f aca="false">VLOOKUP($A122,'Institution Evaluation'!$A$56:$K$346,10,0)&amp;""</f>
        <v/>
      </c>
      <c r="K122" s="311" t="n">
        <f aca="false">IF($I122="Critical Importance",20,IF($I122="Minor Importance",5,10))</f>
        <v>10</v>
      </c>
      <c r="L122" s="283" t="n">
        <f aca="false">IF($E122="Not Scored", "N/A",IF(AND($D122='Auto Responses'!$J$27,$H122=""),"N/A",IF(AND($D122='Auto Responses'!$J$27,$H122='Auto Responses'!$J$7),1,IF(AND($D122='Auto Responses'!$J$27,$H122='Auto Responses'!$J$8),0,IF(OR($F122=$G122,$H122='Auto Responses'!$J$7),1,0)))))</f>
        <v>0</v>
      </c>
      <c r="M122" s="311" t="str">
        <f aca="false">VLOOKUP($A122,'Institution Evaluation'!$A$56:$K$346,10,0)&amp;""</f>
        <v/>
      </c>
      <c r="N122" s="311" t="n">
        <f aca="false">IF($J122="Critical Importance",1,IF(AND($J122="",$I122="Critical Importance"),1,0))</f>
        <v>0</v>
      </c>
      <c r="O122" s="283" t="n">
        <f aca="false">IF($E122="Not Scored","N/A",IF($J122="",$K122,IF($J122="Minor Importance",5,IF($J122="Standard Importance",10,IF($J122="Critical Importance",20,0)))))</f>
        <v>10</v>
      </c>
      <c r="P122" s="283" t="n">
        <f aca="false">IF(OR($O122="N/A",$L122="N/A"),"N/A",$O122*$L122)</f>
        <v>0</v>
      </c>
      <c r="Q122" s="283" t="n">
        <f aca="false">IF(M122="TRUE",1,0)</f>
        <v>0</v>
      </c>
      <c r="R122" s="283" t="n">
        <f aca="false">R121+Q122</f>
        <v>0</v>
      </c>
      <c r="S122" s="283" t="n">
        <f aca="false">IF(Q122=0,0,R122)</f>
        <v>0</v>
      </c>
      <c r="T122" s="283" t="n">
        <f aca="false">IF(N122=1,1,0)</f>
        <v>0</v>
      </c>
      <c r="U122" s="283" t="n">
        <f aca="false">U121+T122</f>
        <v>43</v>
      </c>
      <c r="V122" s="283" t="n">
        <f aca="false">IF(T122=0,0,U122)</f>
        <v>0</v>
      </c>
    </row>
    <row r="123" customFormat="false" ht="26.85" hidden="false" customHeight="false" outlineLevel="0" collapsed="false">
      <c r="A123" s="311" t="str">
        <f aca="false">Questions!$A123</f>
        <v>DATA-12</v>
      </c>
      <c r="B123" s="311" t="str">
        <f aca="false">LEFT(A123,4)</f>
        <v>DATA</v>
      </c>
      <c r="C123" s="311" t="str">
        <f aca="false">VLOOKUP($A123,Questions!$A$3:$L$333,2,0)&amp;""</f>
        <v>Are you performing off-site backups (i.e., digitally moved off site)?</v>
      </c>
      <c r="D123" s="311" t="str">
        <f aca="false">VLOOKUP($A123,Questions!$A$3:$L$333,11,0)&amp;""</f>
        <v/>
      </c>
      <c r="E123" s="311" t="str">
        <f aca="false">VLOOKUP($A123,Questions!$A$3:$L$333,12,0)&amp;""</f>
        <v>Product</v>
      </c>
      <c r="F123" s="311" t="str">
        <f aca="false">VLOOKUP($A123,'Institution Evaluation'!$A$56:$K$346,3,0)&amp;""</f>
        <v/>
      </c>
      <c r="G123" s="311" t="str">
        <f aca="false">VLOOKUP($A123,'Institution Evaluation'!$A$56:$K$346,7,0)&amp;""</f>
        <v>Yes</v>
      </c>
      <c r="H123" s="311" t="str">
        <f aca="false">VLOOKUP($A123,'Institution Evaluation'!$A$56:$K$346,8,0)&amp;""</f>
        <v/>
      </c>
      <c r="I123" s="311" t="str">
        <f aca="false">VLOOKUP($A123,'Institution Evaluation'!$A$56:$K$346,9,0)&amp;""</f>
        <v>Standard Importance</v>
      </c>
      <c r="J123" s="311" t="str">
        <f aca="false">VLOOKUP($A123,'Institution Evaluation'!$A$56:$K$346,10,0)&amp;""</f>
        <v/>
      </c>
      <c r="K123" s="311" t="n">
        <f aca="false">IF($I123="Critical Importance",20,IF($I123="Minor Importance",5,10))</f>
        <v>10</v>
      </c>
      <c r="L123" s="283" t="n">
        <f aca="false">IF($E123="Not Scored", "N/A",IF(AND($D123='Auto Responses'!$J$27,$H123=""),"N/A",IF(AND($D123='Auto Responses'!$J$27,$H123='Auto Responses'!$J$7),1,IF(AND($D123='Auto Responses'!$J$27,$H123='Auto Responses'!$J$8),0,IF(OR($F123=$G123,$H123='Auto Responses'!$J$7),1,0)))))</f>
        <v>0</v>
      </c>
      <c r="M123" s="311" t="str">
        <f aca="false">VLOOKUP($A123,'Institution Evaluation'!$A$56:$K$346,10,0)&amp;""</f>
        <v/>
      </c>
      <c r="N123" s="311" t="n">
        <f aca="false">IF($J123="Critical Importance",1,IF(AND($J123="",$I123="Critical Importance"),1,0))</f>
        <v>0</v>
      </c>
      <c r="O123" s="283" t="n">
        <f aca="false">IF($E123="Not Scored","N/A",IF($J123="",$K123,IF($J123="Minor Importance",5,IF($J123="Standard Importance",10,IF($J123="Critical Importance",20,0)))))</f>
        <v>10</v>
      </c>
      <c r="P123" s="283" t="n">
        <f aca="false">IF(OR($O123="N/A",$L123="N/A"),"N/A",$O123*$L123)</f>
        <v>0</v>
      </c>
      <c r="Q123" s="283" t="n">
        <f aca="false">IF(M123="TRUE",1,0)</f>
        <v>0</v>
      </c>
      <c r="R123" s="283" t="n">
        <f aca="false">R122+Q123</f>
        <v>0</v>
      </c>
      <c r="S123" s="283" t="n">
        <f aca="false">IF(Q123=0,0,R123)</f>
        <v>0</v>
      </c>
      <c r="T123" s="283" t="n">
        <f aca="false">IF(N123=1,1,0)</f>
        <v>0</v>
      </c>
      <c r="U123" s="283" t="n">
        <f aca="false">U122+T123</f>
        <v>43</v>
      </c>
      <c r="V123" s="283" t="n">
        <f aca="false">IF(T123=0,0,U123)</f>
        <v>0</v>
      </c>
    </row>
    <row r="124" customFormat="false" ht="26.85" hidden="false" customHeight="false" outlineLevel="0" collapsed="false">
      <c r="A124" s="311" t="str">
        <f aca="false">Questions!$A124</f>
        <v>DATA-13</v>
      </c>
      <c r="B124" s="311" t="str">
        <f aca="false">LEFT(A124,4)</f>
        <v>DATA</v>
      </c>
      <c r="C124" s="311" t="str">
        <f aca="false">VLOOKUP($A124,Questions!$A$3:$L$333,2,0)&amp;""</f>
        <v>Are physical backups taken off-site (i.e., physically moved off site)?</v>
      </c>
      <c r="D124" s="311" t="str">
        <f aca="false">VLOOKUP($A124,Questions!$A$3:$L$333,11,0)&amp;""</f>
        <v/>
      </c>
      <c r="E124" s="311" t="str">
        <f aca="false">VLOOKUP($A124,Questions!$A$3:$L$333,12,0)&amp;""</f>
        <v>Product</v>
      </c>
      <c r="F124" s="311" t="str">
        <f aca="false">VLOOKUP($A124,'Institution Evaluation'!$A$56:$K$346,3,0)&amp;""</f>
        <v/>
      </c>
      <c r="G124" s="311" t="str">
        <f aca="false">VLOOKUP($A124,'Institution Evaluation'!$A$56:$K$346,7,0)&amp;""</f>
        <v>Yes</v>
      </c>
      <c r="H124" s="311" t="str">
        <f aca="false">VLOOKUP($A124,'Institution Evaluation'!$A$56:$K$346,8,0)&amp;""</f>
        <v/>
      </c>
      <c r="I124" s="311" t="str">
        <f aca="false">VLOOKUP($A124,'Institution Evaluation'!$A$56:$K$346,9,0)&amp;""</f>
        <v>Standard Importance</v>
      </c>
      <c r="J124" s="311" t="str">
        <f aca="false">VLOOKUP($A124,'Institution Evaluation'!$A$56:$K$346,10,0)&amp;""</f>
        <v/>
      </c>
      <c r="K124" s="311" t="n">
        <f aca="false">IF($I124="Critical Importance",20,IF($I124="Minor Importance",5,10))</f>
        <v>10</v>
      </c>
      <c r="L124" s="283" t="n">
        <f aca="false">IF($E124="Not Scored", "N/A",IF(AND($D124='Auto Responses'!$J$27,$H124=""),"N/A",IF(AND($D124='Auto Responses'!$J$27,$H124='Auto Responses'!$J$7),1,IF(AND($D124='Auto Responses'!$J$27,$H124='Auto Responses'!$J$8),0,IF(OR($F124=$G124,$H124='Auto Responses'!$J$7),1,0)))))</f>
        <v>0</v>
      </c>
      <c r="M124" s="311" t="str">
        <f aca="false">VLOOKUP($A124,'Institution Evaluation'!$A$56:$K$346,10,0)&amp;""</f>
        <v/>
      </c>
      <c r="N124" s="311" t="n">
        <f aca="false">IF($J124="Critical Importance",1,IF(AND($J124="",$I124="Critical Importance"),1,0))</f>
        <v>0</v>
      </c>
      <c r="O124" s="283" t="n">
        <f aca="false">IF($E124="Not Scored","N/A",IF($J124="",$K124,IF($J124="Minor Importance",5,IF($J124="Standard Importance",10,IF($J124="Critical Importance",20,0)))))</f>
        <v>10</v>
      </c>
      <c r="P124" s="283" t="n">
        <f aca="false">IF(OR($O124="N/A",$L124="N/A"),"N/A",$O124*$L124)</f>
        <v>0</v>
      </c>
      <c r="Q124" s="283" t="n">
        <f aca="false">IF(M124="TRUE",1,0)</f>
        <v>0</v>
      </c>
      <c r="R124" s="283" t="n">
        <f aca="false">R123+Q124</f>
        <v>0</v>
      </c>
      <c r="S124" s="283" t="n">
        <f aca="false">IF(Q124=0,0,R124)</f>
        <v>0</v>
      </c>
      <c r="T124" s="283" t="n">
        <f aca="false">IF(N124=1,1,0)</f>
        <v>0</v>
      </c>
      <c r="U124" s="283" t="n">
        <f aca="false">U123+T124</f>
        <v>43</v>
      </c>
      <c r="V124" s="283" t="n">
        <f aca="false">IF(T124=0,0,U124)</f>
        <v>0</v>
      </c>
    </row>
    <row r="125" customFormat="false" ht="77.6" hidden="false" customHeight="false" outlineLevel="0" collapsed="false">
      <c r="A125" s="311" t="str">
        <f aca="false">Questions!$A126</f>
        <v>DATA-15</v>
      </c>
      <c r="B125" s="311" t="str">
        <f aca="false">LEFT(A125,4)</f>
        <v>DATA</v>
      </c>
      <c r="C125" s="311" t="str">
        <f aca="false">VLOOKUP($A125,Questions!$A$3:$L$333,2,0)&amp;""</f>
        <v>Do you have a media handling process that is documented and currently implemented that meets established business needs and regulatory requirements, including end-of-life, repurposing, and data-sanitization procedures?</v>
      </c>
      <c r="D125" s="311" t="str">
        <f aca="false">VLOOKUP($A125,Questions!$A$3:$L$333,11,0)&amp;""</f>
        <v/>
      </c>
      <c r="E125" s="311" t="str">
        <f aca="false">VLOOKUP($A125,Questions!$A$3:$L$333,12,0)&amp;""</f>
        <v>Product</v>
      </c>
      <c r="F125" s="311" t="str">
        <f aca="false">VLOOKUP($A125,'Institution Evaluation'!$A$56:$K$346,3,0)&amp;""</f>
        <v/>
      </c>
      <c r="G125" s="311" t="str">
        <f aca="false">VLOOKUP($A125,'Institution Evaluation'!$A$56:$K$346,7,0)&amp;""</f>
        <v>Yes</v>
      </c>
      <c r="H125" s="311" t="str">
        <f aca="false">VLOOKUP($A125,'Institution Evaluation'!$A$56:$K$346,8,0)&amp;""</f>
        <v/>
      </c>
      <c r="I125" s="311" t="str">
        <f aca="false">VLOOKUP($A125,'Institution Evaluation'!$A$56:$K$346,9,0)&amp;""</f>
        <v>Standard Importance</v>
      </c>
      <c r="J125" s="311" t="str">
        <f aca="false">VLOOKUP($A125,'Institution Evaluation'!$A$56:$K$346,10,0)&amp;""</f>
        <v/>
      </c>
      <c r="K125" s="311" t="n">
        <f aca="false">IF($I125="Critical Importance",20,IF($I125="Minor Importance",5,10))</f>
        <v>10</v>
      </c>
      <c r="L125" s="283" t="n">
        <f aca="false">IF($E125="Not Scored", "N/A",IF(AND($D125='Auto Responses'!$J$27,$H125=""),"N/A",IF(AND($D125='Auto Responses'!$J$27,$H125='Auto Responses'!$J$7),1,IF(AND($D125='Auto Responses'!$J$27,$H125='Auto Responses'!$J$8),0,IF(OR($F125=$G125,$H125='Auto Responses'!$J$7),1,0)))))</f>
        <v>0</v>
      </c>
      <c r="M125" s="311" t="str">
        <f aca="false">VLOOKUP($A125,'Institution Evaluation'!$A$56:$K$346,10,0)&amp;""</f>
        <v/>
      </c>
      <c r="N125" s="311" t="n">
        <f aca="false">IF($J125="Critical Importance",1,IF(AND($J125="",$I125="Critical Importance"),1,0))</f>
        <v>0</v>
      </c>
      <c r="O125" s="283" t="n">
        <f aca="false">IF($E125="Not Scored","N/A",IF($J125="",$K125,IF($J125="Minor Importance",5,IF($J125="Standard Importance",10,IF($J125="Critical Importance",20,0)))))</f>
        <v>10</v>
      </c>
      <c r="P125" s="283" t="n">
        <f aca="false">IF(OR($O125="N/A",$L125="N/A"),"N/A",$O125*$L125)</f>
        <v>0</v>
      </c>
      <c r="Q125" s="283" t="n">
        <f aca="false">IF(M125="TRUE",1,0)</f>
        <v>0</v>
      </c>
      <c r="R125" s="283" t="n">
        <f aca="false">R124+Q125</f>
        <v>0</v>
      </c>
      <c r="S125" s="283" t="n">
        <f aca="false">IF(Q125=0,0,R125)</f>
        <v>0</v>
      </c>
      <c r="T125" s="283" t="n">
        <f aca="false">IF(N125=1,1,0)</f>
        <v>0</v>
      </c>
      <c r="U125" s="283" t="n">
        <f aca="false">U124+T125</f>
        <v>43</v>
      </c>
      <c r="V125" s="283" t="n">
        <f aca="false">IF(T125=0,0,U125)</f>
        <v>0</v>
      </c>
    </row>
    <row r="126" customFormat="false" ht="39.55" hidden="false" customHeight="false" outlineLevel="0" collapsed="false">
      <c r="A126" s="311" t="str">
        <f aca="false">Questions!$A127</f>
        <v>DATA-16</v>
      </c>
      <c r="B126" s="311" t="str">
        <f aca="false">LEFT(A126,4)</f>
        <v>DATA</v>
      </c>
      <c r="C126" s="311" t="str">
        <f aca="false">VLOOKUP($A126,Questions!$A$3:$L$333,2,0)&amp;""</f>
        <v>Does the process described in DATA-15 adhere to DoD 5220.22-M and/or NIST SP 800-88 standards?</v>
      </c>
      <c r="D126" s="311" t="str">
        <f aca="false">VLOOKUP($A126,Questions!$A$3:$L$333,11,0)&amp;""</f>
        <v/>
      </c>
      <c r="E126" s="311" t="str">
        <f aca="false">VLOOKUP($A126,Questions!$A$3:$L$333,12,0)&amp;""</f>
        <v>Product</v>
      </c>
      <c r="F126" s="311" t="str">
        <f aca="false">VLOOKUP($A126,'Institution Evaluation'!$A$56:$K$346,3,0)&amp;""</f>
        <v/>
      </c>
      <c r="G126" s="311" t="str">
        <f aca="false">VLOOKUP($A126,'Institution Evaluation'!$A$56:$K$346,7,0)&amp;""</f>
        <v>Yes</v>
      </c>
      <c r="H126" s="311" t="str">
        <f aca="false">VLOOKUP($A126,'Institution Evaluation'!$A$56:$K$346,8,0)&amp;""</f>
        <v/>
      </c>
      <c r="I126" s="311" t="str">
        <f aca="false">VLOOKUP($A126,'Institution Evaluation'!$A$56:$K$346,9,0)&amp;""</f>
        <v>Standard Importance</v>
      </c>
      <c r="J126" s="311" t="str">
        <f aca="false">VLOOKUP($A126,'Institution Evaluation'!$A$56:$K$346,10,0)&amp;""</f>
        <v/>
      </c>
      <c r="K126" s="311" t="n">
        <f aca="false">IF($I126="Critical Importance",20,IF($I126="Minor Importance",5,10))</f>
        <v>10</v>
      </c>
      <c r="L126" s="283" t="n">
        <f aca="false">IF($E126="Not Scored", "N/A",IF(AND($D126='Auto Responses'!$J$27,$H126=""),"N/A",IF(AND($D126='Auto Responses'!$J$27,$H126='Auto Responses'!$J$7),1,IF(AND($D126='Auto Responses'!$J$27,$H126='Auto Responses'!$J$8),0,IF(OR($F126=$G126,$H126='Auto Responses'!$J$7),1,0)))))</f>
        <v>0</v>
      </c>
      <c r="M126" s="311" t="str">
        <f aca="false">VLOOKUP($A126,'Institution Evaluation'!$A$56:$K$346,10,0)&amp;""</f>
        <v/>
      </c>
      <c r="N126" s="311" t="n">
        <f aca="false">IF($J126="Critical Importance",1,IF(AND($J126="",$I126="Critical Importance"),1,0))</f>
        <v>0</v>
      </c>
      <c r="O126" s="283" t="n">
        <f aca="false">IF($E126="Not Scored","N/A",IF($J126="",$K126,IF($J126="Minor Importance",5,IF($J126="Standard Importance",10,IF($J126="Critical Importance",20,0)))))</f>
        <v>10</v>
      </c>
      <c r="P126" s="283" t="n">
        <f aca="false">IF(OR($O126="N/A",$L126="N/A"),"N/A",$O126*$L126)</f>
        <v>0</v>
      </c>
      <c r="Q126" s="283" t="n">
        <f aca="false">IF(M126="TRUE",1,0)</f>
        <v>0</v>
      </c>
      <c r="R126" s="283" t="n">
        <f aca="false">R125+Q126</f>
        <v>0</v>
      </c>
      <c r="S126" s="283" t="n">
        <f aca="false">IF(Q126=0,0,R126)</f>
        <v>0</v>
      </c>
      <c r="T126" s="283" t="n">
        <f aca="false">IF(N126=1,1,0)</f>
        <v>0</v>
      </c>
      <c r="U126" s="283" t="n">
        <f aca="false">U125+T126</f>
        <v>43</v>
      </c>
      <c r="V126" s="283" t="n">
        <f aca="false">IF(T126=0,0,U126)</f>
        <v>0</v>
      </c>
    </row>
    <row r="127" customFormat="false" ht="39.55" hidden="false" customHeight="false" outlineLevel="0" collapsed="false">
      <c r="A127" s="311" t="str">
        <f aca="false">Questions!$A128</f>
        <v>DATA-17</v>
      </c>
      <c r="B127" s="311" t="str">
        <f aca="false">LEFT(A127,4)</f>
        <v>DATA</v>
      </c>
      <c r="C127" s="311" t="str">
        <f aca="false">VLOOKUP($A127,Questions!$A$3:$L$333,2,0)&amp;""</f>
        <v>Does your staff (or third party) have access to institutional data (e.g., financial, PHI, or other sensitive information) through any means?</v>
      </c>
      <c r="D127" s="311" t="str">
        <f aca="false">VLOOKUP($A127,Questions!$A$3:$L$333,11,0)&amp;""</f>
        <v/>
      </c>
      <c r="E127" s="311" t="str">
        <f aca="false">VLOOKUP($A127,Questions!$A$3:$L$333,12,0)&amp;""</f>
        <v>Product</v>
      </c>
      <c r="F127" s="311" t="str">
        <f aca="false">VLOOKUP($A127,'Institution Evaluation'!$A$56:$K$346,3,0)&amp;""</f>
        <v/>
      </c>
      <c r="G127" s="311" t="str">
        <f aca="false">VLOOKUP($A127,'Institution Evaluation'!$A$56:$K$346,7,0)&amp;""</f>
        <v>No</v>
      </c>
      <c r="H127" s="311" t="str">
        <f aca="false">VLOOKUP($A127,'Institution Evaluation'!$A$56:$K$346,8,0)&amp;""</f>
        <v/>
      </c>
      <c r="I127" s="311" t="str">
        <f aca="false">VLOOKUP($A127,'Institution Evaluation'!$A$56:$K$346,9,0)&amp;""</f>
        <v>Standard Importance</v>
      </c>
      <c r="J127" s="311" t="str">
        <f aca="false">VLOOKUP($A127,'Institution Evaluation'!$A$56:$K$346,10,0)&amp;""</f>
        <v/>
      </c>
      <c r="K127" s="311" t="n">
        <f aca="false">IF($I127="Critical Importance",20,IF($I127="Minor Importance",5,10))</f>
        <v>10</v>
      </c>
      <c r="L127" s="283" t="n">
        <f aca="false">IF($E127="Not Scored", "N/A",IF(AND($D127='Auto Responses'!$J$27,$H127=""),"N/A",IF(AND($D127='Auto Responses'!$J$27,$H127='Auto Responses'!$J$7),1,IF(AND($D127='Auto Responses'!$J$27,$H127='Auto Responses'!$J$8),0,IF(OR($F127=$G127,$H127='Auto Responses'!$J$7),1,0)))))</f>
        <v>0</v>
      </c>
      <c r="M127" s="311" t="str">
        <f aca="false">VLOOKUP($A127,'Institution Evaluation'!$A$56:$K$346,10,0)&amp;""</f>
        <v/>
      </c>
      <c r="N127" s="311" t="n">
        <f aca="false">IF($J127="Critical Importance",1,IF(AND($J127="",$I127="Critical Importance"),1,0))</f>
        <v>0</v>
      </c>
      <c r="O127" s="283" t="n">
        <f aca="false">IF($E127="Not Scored","N/A",IF($J127="",$K127,IF($J127="Minor Importance",5,IF($J127="Standard Importance",10,IF($J127="Critical Importance",20,0)))))</f>
        <v>10</v>
      </c>
      <c r="P127" s="283" t="n">
        <f aca="false">IF(OR($O127="N/A",$L127="N/A"),"N/A",$O127*$L127)</f>
        <v>0</v>
      </c>
      <c r="Q127" s="283" t="n">
        <f aca="false">IF(M127="TRUE",1,0)</f>
        <v>0</v>
      </c>
      <c r="R127" s="283" t="n">
        <f aca="false">R126+Q127</f>
        <v>0</v>
      </c>
      <c r="S127" s="283" t="n">
        <f aca="false">IF(Q127=0,0,R127)</f>
        <v>0</v>
      </c>
      <c r="T127" s="283" t="n">
        <f aca="false">IF(N127=1,1,0)</f>
        <v>0</v>
      </c>
      <c r="U127" s="283" t="n">
        <f aca="false">U126+T127</f>
        <v>43</v>
      </c>
      <c r="V127" s="283" t="n">
        <f aca="false">IF(T127=0,0,U127)</f>
        <v>0</v>
      </c>
    </row>
    <row r="128" customFormat="false" ht="52.2" hidden="false" customHeight="false" outlineLevel="0" collapsed="false">
      <c r="A128" s="311" t="str">
        <f aca="false">Questions!$A129</f>
        <v>DATA-18</v>
      </c>
      <c r="B128" s="311" t="str">
        <f aca="false">LEFT(A128,4)</f>
        <v>DATA</v>
      </c>
      <c r="C128" s="311" t="str">
        <f aca="false">VLOOKUP($A128,Questions!$A$3:$L$333,2,0)&amp;""</f>
        <v>Do you have a documented and currently implemented strategy for securing employee workstations when they work remotely (i.e., not in a trusted computing environment)?</v>
      </c>
      <c r="D128" s="311" t="str">
        <f aca="false">VLOOKUP($A128,Questions!$A$3:$L$333,11,0)&amp;""</f>
        <v/>
      </c>
      <c r="E128" s="311" t="str">
        <f aca="false">VLOOKUP($A128,Questions!$A$3:$L$333,12,0)&amp;""</f>
        <v>Product</v>
      </c>
      <c r="F128" s="311" t="str">
        <f aca="false">VLOOKUP($A128,'Institution Evaluation'!$A$56:$K$346,3,0)&amp;""</f>
        <v/>
      </c>
      <c r="G128" s="311" t="str">
        <f aca="false">VLOOKUP($A128,'Institution Evaluation'!$A$56:$K$346,7,0)&amp;""</f>
        <v>Yes</v>
      </c>
      <c r="H128" s="311" t="str">
        <f aca="false">VLOOKUP($A128,'Institution Evaluation'!$A$56:$K$346,8,0)&amp;""</f>
        <v/>
      </c>
      <c r="I128" s="311" t="str">
        <f aca="false">VLOOKUP($A128,'Institution Evaluation'!$A$56:$K$346,9,0)&amp;""</f>
        <v>Standard Importance</v>
      </c>
      <c r="J128" s="311" t="str">
        <f aca="false">VLOOKUP($A128,'Institution Evaluation'!$A$56:$K$346,10,0)&amp;""</f>
        <v/>
      </c>
      <c r="K128" s="311" t="n">
        <f aca="false">IF($I128="Critical Importance",20,IF($I128="Minor Importance",5,10))</f>
        <v>10</v>
      </c>
      <c r="L128" s="283" t="n">
        <f aca="false">IF($E128="Not Scored", "N/A",IF(AND($D128='Auto Responses'!$J$27,$H128=""),"N/A",IF(AND($D128='Auto Responses'!$J$27,$H128='Auto Responses'!$J$7),1,IF(AND($D128='Auto Responses'!$J$27,$H128='Auto Responses'!$J$8),0,IF(OR($F128=$G128,$H128='Auto Responses'!$J$7),1,0)))))</f>
        <v>0</v>
      </c>
      <c r="M128" s="311" t="str">
        <f aca="false">VLOOKUP($A128,'Institution Evaluation'!$A$56:$K$346,10,0)&amp;""</f>
        <v/>
      </c>
      <c r="N128" s="311" t="n">
        <f aca="false">IF($J128="Critical Importance",1,IF(AND($J128="",$I128="Critical Importance"),1,0))</f>
        <v>0</v>
      </c>
      <c r="O128" s="283" t="n">
        <f aca="false">IF($E128="Not Scored","N/A",IF($J128="",$K128,IF($J128="Minor Importance",5,IF($J128="Standard Importance",10,IF($J128="Critical Importance",20,0)))))</f>
        <v>10</v>
      </c>
      <c r="P128" s="283" t="n">
        <f aca="false">IF(OR($O128="N/A",$L128="N/A"),"N/A",$O128*$L128)</f>
        <v>0</v>
      </c>
      <c r="Q128" s="283" t="n">
        <f aca="false">IF(M128="TRUE",1,0)</f>
        <v>0</v>
      </c>
      <c r="R128" s="283" t="n">
        <f aca="false">R127+Q128</f>
        <v>0</v>
      </c>
      <c r="S128" s="283" t="n">
        <f aca="false">IF(Q128=0,0,R128)</f>
        <v>0</v>
      </c>
      <c r="T128" s="283" t="n">
        <f aca="false">IF(N128=1,1,0)</f>
        <v>0</v>
      </c>
      <c r="U128" s="283" t="n">
        <f aca="false">U127+T128</f>
        <v>43</v>
      </c>
      <c r="V128" s="283" t="n">
        <f aca="false">IF(T128=0,0,U128)</f>
        <v>0</v>
      </c>
    </row>
    <row r="129" customFormat="false" ht="64.9" hidden="false" customHeight="false" outlineLevel="0" collapsed="false">
      <c r="A129" s="311" t="str">
        <f aca="false">Questions!$A130</f>
        <v>DATA-19</v>
      </c>
      <c r="B129" s="311" t="str">
        <f aca="false">LEFT(A129,4)</f>
        <v>DATA</v>
      </c>
      <c r="C129" s="311" t="str">
        <f aca="false">VLOOKUP($A129,Questions!$A$3:$L$333,2,0)&amp;""</f>
        <v>Does the environment provide for dedicated single-tenant capabilities? If not, describe how your solution or environment separates data from different customers (e.g., logically, physically, single tenancy, multi-tenancy).</v>
      </c>
      <c r="D129" s="311" t="str">
        <f aca="false">VLOOKUP($A129,Questions!$A$3:$L$333,11,0)&amp;""</f>
        <v/>
      </c>
      <c r="E129" s="311" t="str">
        <f aca="false">VLOOKUP($A129,Questions!$A$3:$L$333,12,0)&amp;""</f>
        <v>Product</v>
      </c>
      <c r="F129" s="311" t="str">
        <f aca="false">VLOOKUP($A129,'Institution Evaluation'!$A$56:$K$346,3,0)&amp;""</f>
        <v/>
      </c>
      <c r="G129" s="311" t="str">
        <f aca="false">VLOOKUP($A129,'Institution Evaluation'!$A$56:$K$346,7,0)&amp;""</f>
        <v>Yes</v>
      </c>
      <c r="H129" s="311" t="str">
        <f aca="false">VLOOKUP($A129,'Institution Evaluation'!$A$56:$K$346,8,0)&amp;""</f>
        <v/>
      </c>
      <c r="I129" s="311" t="str">
        <f aca="false">VLOOKUP($A129,'Institution Evaluation'!$A$56:$K$346,9,0)&amp;""</f>
        <v>Minor Importance</v>
      </c>
      <c r="J129" s="311" t="str">
        <f aca="false">VLOOKUP($A129,'Institution Evaluation'!$A$56:$K$346,10,0)&amp;""</f>
        <v/>
      </c>
      <c r="K129" s="311" t="n">
        <f aca="false">IF($I129="Critical Importance",20,IF($I129="Minor Importance",5,10))</f>
        <v>5</v>
      </c>
      <c r="L129" s="283" t="n">
        <f aca="false">IF($E129="Not Scored", "N/A",IF(AND($D129='Auto Responses'!$J$27,$H129=""),"N/A",IF(AND($D129='Auto Responses'!$J$27,$H129='Auto Responses'!$J$7),1,IF(AND($D129='Auto Responses'!$J$27,$H129='Auto Responses'!$J$8),0,IF(OR($F129=$G129,$H129='Auto Responses'!$J$7),1,0)))))</f>
        <v>0</v>
      </c>
      <c r="M129" s="311" t="str">
        <f aca="false">VLOOKUP($A129,'Institution Evaluation'!$A$56:$K$346,10,0)&amp;""</f>
        <v/>
      </c>
      <c r="N129" s="311" t="n">
        <f aca="false">IF($J129="Critical Importance",1,IF(AND($J129="",$I129="Critical Importance"),1,0))</f>
        <v>0</v>
      </c>
      <c r="O129" s="283" t="n">
        <f aca="false">IF($E129="Not Scored","N/A",IF($J129="",$K129,IF($J129="Minor Importance",5,IF($J129="Standard Importance",10,IF($J129="Critical Importance",20,0)))))</f>
        <v>5</v>
      </c>
      <c r="P129" s="283" t="n">
        <f aca="false">IF(OR($O129="N/A",$L129="N/A"),"N/A",$O129*$L129)</f>
        <v>0</v>
      </c>
      <c r="Q129" s="283" t="n">
        <f aca="false">IF(M129="TRUE",1,0)</f>
        <v>0</v>
      </c>
      <c r="R129" s="283" t="n">
        <f aca="false">R128+Q129</f>
        <v>0</v>
      </c>
      <c r="S129" s="283" t="n">
        <f aca="false">IF(Q129=0,0,R129)</f>
        <v>0</v>
      </c>
      <c r="T129" s="283" t="n">
        <f aca="false">IF(N129=1,1,0)</f>
        <v>0</v>
      </c>
      <c r="U129" s="283" t="n">
        <f aca="false">U128+T129</f>
        <v>43</v>
      </c>
      <c r="V129" s="283" t="n">
        <f aca="false">IF(T129=0,0,U129)</f>
        <v>0</v>
      </c>
    </row>
    <row r="130" customFormat="false" ht="39.55" hidden="false" customHeight="false" outlineLevel="0" collapsed="false">
      <c r="A130" s="311" t="str">
        <f aca="false">Questions!$A131</f>
        <v>DATA-20</v>
      </c>
      <c r="B130" s="311" t="str">
        <f aca="false">LEFT(A130,4)</f>
        <v>DATA</v>
      </c>
      <c r="C130" s="311" t="str">
        <f aca="false">VLOOKUP($A130,Questions!$A$3:$L$333,2,0)&amp;""</f>
        <v>Are ownership rights to all data, inputs, outputs, and metadata retained by the institution?</v>
      </c>
      <c r="D130" s="311" t="str">
        <f aca="false">VLOOKUP($A130,Questions!$A$3:$L$333,11,0)&amp;""</f>
        <v/>
      </c>
      <c r="E130" s="311" t="str">
        <f aca="false">VLOOKUP($A130,Questions!$A$3:$L$333,12,0)&amp;""</f>
        <v>Product</v>
      </c>
      <c r="F130" s="311" t="str">
        <f aca="false">VLOOKUP($A130,'Institution Evaluation'!$A$56:$K$346,3,0)&amp;""</f>
        <v/>
      </c>
      <c r="G130" s="311" t="str">
        <f aca="false">VLOOKUP($A130,'Institution Evaluation'!$A$56:$K$346,7,0)&amp;""</f>
        <v>Yes</v>
      </c>
      <c r="H130" s="311" t="str">
        <f aca="false">VLOOKUP($A130,'Institution Evaluation'!$A$56:$K$346,8,0)&amp;""</f>
        <v/>
      </c>
      <c r="I130" s="311" t="str">
        <f aca="false">VLOOKUP($A130,'Institution Evaluation'!$A$56:$K$346,9,0)&amp;""</f>
        <v>Minor Importance</v>
      </c>
      <c r="J130" s="311" t="str">
        <f aca="false">VLOOKUP($A130,'Institution Evaluation'!$A$56:$K$346,10,0)&amp;""</f>
        <v/>
      </c>
      <c r="K130" s="311" t="n">
        <f aca="false">IF($I130="Critical Importance",20,IF($I130="Minor Importance",5,10))</f>
        <v>5</v>
      </c>
      <c r="L130" s="283" t="n">
        <f aca="false">IF($E130="Not Scored", "N/A",IF(AND($D130='Auto Responses'!$J$27,$H130=""),"N/A",IF(AND($D130='Auto Responses'!$J$27,$H130='Auto Responses'!$J$7),1,IF(AND($D130='Auto Responses'!$J$27,$H130='Auto Responses'!$J$8),0,IF(OR($F130=$G130,$H130='Auto Responses'!$J$7),1,0)))))</f>
        <v>0</v>
      </c>
      <c r="M130" s="311" t="str">
        <f aca="false">VLOOKUP($A130,'Institution Evaluation'!$A$56:$K$346,10,0)&amp;""</f>
        <v/>
      </c>
      <c r="N130" s="311" t="n">
        <f aca="false">IF($J130="Critical Importance",1,IF(AND($J130="",$I130="Critical Importance"),1,0))</f>
        <v>0</v>
      </c>
      <c r="O130" s="283" t="n">
        <f aca="false">IF($E130="Not Scored","N/A",IF($J130="",$K130,IF($J130="Minor Importance",5,IF($J130="Standard Importance",10,IF($J130="Critical Importance",20,0)))))</f>
        <v>5</v>
      </c>
      <c r="P130" s="283" t="n">
        <f aca="false">IF(OR($O130="N/A",$L130="N/A"),"N/A",$O130*$L130)</f>
        <v>0</v>
      </c>
      <c r="Q130" s="283" t="n">
        <f aca="false">IF(M130="TRUE",1,0)</f>
        <v>0</v>
      </c>
      <c r="R130" s="283" t="n">
        <f aca="false">R129+Q130</f>
        <v>0</v>
      </c>
      <c r="S130" s="283" t="n">
        <f aca="false">IF(Q130=0,0,R130)</f>
        <v>0</v>
      </c>
      <c r="T130" s="283" t="n">
        <f aca="false">IF(N130=1,1,0)</f>
        <v>0</v>
      </c>
      <c r="U130" s="283" t="n">
        <f aca="false">U129+T130</f>
        <v>43</v>
      </c>
      <c r="V130" s="283" t="n">
        <f aca="false">IF(T130=0,0,U130)</f>
        <v>0</v>
      </c>
    </row>
    <row r="131" customFormat="false" ht="52.2" hidden="false" customHeight="false" outlineLevel="0" collapsed="false">
      <c r="A131" s="311" t="str">
        <f aca="false">Questions!$A132</f>
        <v>DATA-21</v>
      </c>
      <c r="B131" s="311" t="str">
        <f aca="false">LEFT(A131,4)</f>
        <v>DATA</v>
      </c>
      <c r="C131" s="311" t="str">
        <f aca="false">VLOOKUP($A131,Questions!$A$3:$L$333,2,0)&amp;""</f>
        <v>In the event of imminent bankruptcy, closing of business, or retirement of service, will you provide 90 days for customers to get their data out of the system and migrate applications?</v>
      </c>
      <c r="D131" s="311" t="str">
        <f aca="false">VLOOKUP($A131,Questions!$A$3:$L$333,11,0)&amp;""</f>
        <v/>
      </c>
      <c r="E131" s="311" t="str">
        <f aca="false">VLOOKUP($A131,Questions!$A$3:$L$333,12,0)&amp;""</f>
        <v>Product</v>
      </c>
      <c r="F131" s="311" t="str">
        <f aca="false">VLOOKUP($A131,'Institution Evaluation'!$A$56:$K$346,3,0)&amp;""</f>
        <v/>
      </c>
      <c r="G131" s="311" t="str">
        <f aca="false">VLOOKUP($A131,'Institution Evaluation'!$A$56:$K$346,7,0)&amp;""</f>
        <v>Yes</v>
      </c>
      <c r="H131" s="311" t="str">
        <f aca="false">VLOOKUP($A131,'Institution Evaluation'!$A$56:$K$346,8,0)&amp;""</f>
        <v/>
      </c>
      <c r="I131" s="311" t="str">
        <f aca="false">VLOOKUP($A131,'Institution Evaluation'!$A$56:$K$346,9,0)&amp;""</f>
        <v>Minor Importance</v>
      </c>
      <c r="J131" s="311" t="str">
        <f aca="false">VLOOKUP($A131,'Institution Evaluation'!$A$56:$K$346,10,0)&amp;""</f>
        <v/>
      </c>
      <c r="K131" s="311" t="n">
        <f aca="false">IF($I131="Critical Importance",20,IF($I131="Minor Importance",5,10))</f>
        <v>5</v>
      </c>
      <c r="L131" s="283" t="n">
        <f aca="false">IF($E131="Not Scored", "N/A",IF(AND($D131='Auto Responses'!$J$27,$H131=""),"N/A",IF(AND($D131='Auto Responses'!$J$27,$H131='Auto Responses'!$J$7),1,IF(AND($D131='Auto Responses'!$J$27,$H131='Auto Responses'!$J$8),0,IF(OR($F131=$G131,$H131='Auto Responses'!$J$7),1,0)))))</f>
        <v>0</v>
      </c>
      <c r="M131" s="311" t="str">
        <f aca="false">VLOOKUP($A131,'Institution Evaluation'!$A$56:$K$346,10,0)&amp;""</f>
        <v/>
      </c>
      <c r="N131" s="311" t="n">
        <f aca="false">IF($J131="Critical Importance",1,IF(AND($J131="",$I131="Critical Importance"),1,0))</f>
        <v>0</v>
      </c>
      <c r="O131" s="283" t="n">
        <f aca="false">IF($E131="Not Scored","N/A",IF($J131="",$K131,IF($J131="Minor Importance",5,IF($J131="Standard Importance",10,IF($J131="Critical Importance",20,0)))))</f>
        <v>5</v>
      </c>
      <c r="P131" s="283" t="n">
        <f aca="false">IF(OR($O131="N/A",$L131="N/A"),"N/A",$O131*$L131)</f>
        <v>0</v>
      </c>
      <c r="Q131" s="283" t="n">
        <f aca="false">IF(M131="TRUE",1,0)</f>
        <v>0</v>
      </c>
      <c r="R131" s="283" t="n">
        <f aca="false">R130+Q131</f>
        <v>0</v>
      </c>
      <c r="S131" s="283" t="n">
        <f aca="false">IF(Q131=0,0,R131)</f>
        <v>0</v>
      </c>
      <c r="T131" s="283" t="n">
        <f aca="false">IF(N131=1,1,0)</f>
        <v>0</v>
      </c>
      <c r="U131" s="283" t="n">
        <f aca="false">U130+T131</f>
        <v>43</v>
      </c>
      <c r="V131" s="283" t="n">
        <f aca="false">IF(T131=0,0,U131)</f>
        <v>0</v>
      </c>
    </row>
    <row r="132" customFormat="false" ht="39.55" hidden="false" customHeight="false" outlineLevel="0" collapsed="false">
      <c r="A132" s="311" t="str">
        <f aca="false">Questions!$A133</f>
        <v>DATA-22</v>
      </c>
      <c r="B132" s="311" t="str">
        <f aca="false">LEFT(A132,4)</f>
        <v>DATA</v>
      </c>
      <c r="C132" s="311" t="str">
        <f aca="false">VLOOKUP($A132,Questions!$A$3:$L$333,2,0)&amp;""</f>
        <v>Are involatile backup copies made according to predefined schedules and securely stored and protected?</v>
      </c>
      <c r="D132" s="311" t="str">
        <f aca="false">VLOOKUP($A132,Questions!$A$3:$L$333,11,0)&amp;""</f>
        <v/>
      </c>
      <c r="E132" s="311" t="str">
        <f aca="false">VLOOKUP($A132,Questions!$A$3:$L$333,12,0)&amp;""</f>
        <v>Product</v>
      </c>
      <c r="F132" s="311" t="str">
        <f aca="false">VLOOKUP($A132,'Institution Evaluation'!$A$56:$K$346,3,0)&amp;""</f>
        <v/>
      </c>
      <c r="G132" s="311" t="str">
        <f aca="false">VLOOKUP($A132,'Institution Evaluation'!$A$56:$K$346,7,0)&amp;""</f>
        <v>Yes</v>
      </c>
      <c r="H132" s="311" t="str">
        <f aca="false">VLOOKUP($A132,'Institution Evaluation'!$A$56:$K$346,8,0)&amp;""</f>
        <v/>
      </c>
      <c r="I132" s="311" t="str">
        <f aca="false">VLOOKUP($A132,'Institution Evaluation'!$A$56:$K$346,9,0)&amp;""</f>
        <v>Minor Importance</v>
      </c>
      <c r="J132" s="311" t="str">
        <f aca="false">VLOOKUP($A132,'Institution Evaluation'!$A$56:$K$346,10,0)&amp;""</f>
        <v/>
      </c>
      <c r="K132" s="311" t="n">
        <f aca="false">IF($I132="Critical Importance",20,IF($I132="Minor Importance",5,10))</f>
        <v>5</v>
      </c>
      <c r="L132" s="283" t="n">
        <f aca="false">IF($E132="Not Scored", "N/A",IF(AND($D132='Auto Responses'!$J$27,$H132=""),"N/A",IF(AND($D132='Auto Responses'!$J$27,$H132='Auto Responses'!$J$7),1,IF(AND($D132='Auto Responses'!$J$27,$H132='Auto Responses'!$J$8),0,IF(OR($F132=$G132,$H132='Auto Responses'!$J$7),1,0)))))</f>
        <v>0</v>
      </c>
      <c r="M132" s="311" t="str">
        <f aca="false">VLOOKUP($A132,'Institution Evaluation'!$A$56:$K$346,10,0)&amp;""</f>
        <v/>
      </c>
      <c r="N132" s="311" t="n">
        <f aca="false">IF($J132="Critical Importance",1,IF(AND($J132="",$I132="Critical Importance"),1,0))</f>
        <v>0</v>
      </c>
      <c r="O132" s="283" t="n">
        <f aca="false">IF($E132="Not Scored","N/A",IF($J132="",$K132,IF($J132="Minor Importance",5,IF($J132="Standard Importance",10,IF($J132="Critical Importance",20,0)))))</f>
        <v>5</v>
      </c>
      <c r="P132" s="283" t="n">
        <f aca="false">IF(OR($O132="N/A",$L132="N/A"),"N/A",$O132*$L132)</f>
        <v>0</v>
      </c>
      <c r="Q132" s="283" t="n">
        <f aca="false">IF(M132="TRUE",1,0)</f>
        <v>0</v>
      </c>
      <c r="R132" s="283" t="n">
        <f aca="false">R131+Q132</f>
        <v>0</v>
      </c>
      <c r="S132" s="283" t="n">
        <f aca="false">IF(Q132=0,0,R132)</f>
        <v>0</v>
      </c>
      <c r="T132" s="283" t="n">
        <f aca="false">IF(N132=1,1,0)</f>
        <v>0</v>
      </c>
      <c r="U132" s="283" t="n">
        <f aca="false">U131+T132</f>
        <v>43</v>
      </c>
      <c r="V132" s="283" t="n">
        <f aca="false">IF(T132=0,0,U132)</f>
        <v>0</v>
      </c>
    </row>
    <row r="133" customFormat="false" ht="26.85" hidden="false" customHeight="false" outlineLevel="0" collapsed="false">
      <c r="A133" s="311" t="str">
        <f aca="false">Questions!$A125</f>
        <v>DATA-14</v>
      </c>
      <c r="B133" s="311" t="str">
        <f aca="false">LEFT(A133,4)</f>
        <v>DATA</v>
      </c>
      <c r="C133" s="311" t="str">
        <f aca="false">VLOOKUP($A133,Questions!$A$3:$L$333,2,0)&amp;""</f>
        <v>Are data backups encrypted?</v>
      </c>
      <c r="D133" s="311" t="str">
        <f aca="false">VLOOKUP($A133,Questions!$A$3:$L$333,11,0)&amp;""</f>
        <v/>
      </c>
      <c r="E133" s="311" t="str">
        <f aca="false">VLOOKUP($A133,Questions!$A$3:$L$333,12,0)&amp;""</f>
        <v>Product</v>
      </c>
      <c r="F133" s="311" t="str">
        <f aca="false">VLOOKUP($A133,'Institution Evaluation'!$A$56:$K$346,3,0)&amp;""</f>
        <v/>
      </c>
      <c r="G133" s="311" t="str">
        <f aca="false">VLOOKUP($A133,'Institution Evaluation'!$A$56:$K$346,7,0)&amp;""</f>
        <v>Yes</v>
      </c>
      <c r="H133" s="311" t="str">
        <f aca="false">VLOOKUP($A133,'Institution Evaluation'!$A$56:$K$346,8,0)&amp;""</f>
        <v/>
      </c>
      <c r="I133" s="311" t="str">
        <f aca="false">VLOOKUP($A133,'Institution Evaluation'!$A$56:$K$346,9,0)&amp;""</f>
        <v>Minor Importance</v>
      </c>
      <c r="J133" s="311" t="str">
        <f aca="false">VLOOKUP($A133,'Institution Evaluation'!$A$56:$K$346,10,0)&amp;""</f>
        <v/>
      </c>
      <c r="K133" s="311" t="n">
        <f aca="false">IF($I133="Critical Importance",20,IF($I133="Minor Importance",5,10))</f>
        <v>5</v>
      </c>
      <c r="L133" s="283" t="n">
        <f aca="false">IF($E133="Not Scored", "N/A",IF(AND($D133='Auto Responses'!$J$27,$H133=""),"N/A",IF(AND($D133='Auto Responses'!$J$27,$H133='Auto Responses'!$J$7),1,IF(AND($D133='Auto Responses'!$J$27,$H133='Auto Responses'!$J$8),0,IF(OR($F133=$G133,$H133='Auto Responses'!$J$7),1,0)))))</f>
        <v>0</v>
      </c>
      <c r="M133" s="311" t="str">
        <f aca="false">VLOOKUP($A133,'Institution Evaluation'!$A$56:$K$346,10,0)&amp;""</f>
        <v/>
      </c>
      <c r="N133" s="311" t="n">
        <f aca="false">IF($J133="Critical Importance",1,IF(AND($J133="",$I133="Critical Importance"),1,0))</f>
        <v>0</v>
      </c>
      <c r="O133" s="283" t="n">
        <f aca="false">IF($E133="Not Scored","N/A",IF($J133="",$K133,IF($J133="Minor Importance",5,IF($J133="Standard Importance",10,IF($J133="Critical Importance",20,0)))))</f>
        <v>5</v>
      </c>
      <c r="P133" s="283" t="n">
        <f aca="false">IF(OR($O133="N/A",$L133="N/A"),"N/A",$O133*$L133)</f>
        <v>0</v>
      </c>
      <c r="Q133" s="283" t="n">
        <f aca="false">IF(M133="TRUE",1,0)</f>
        <v>0</v>
      </c>
      <c r="R133" s="283" t="n">
        <f aca="false">R132+Q133</f>
        <v>0</v>
      </c>
      <c r="S133" s="283" t="n">
        <f aca="false">IF(Q133=0,0,R133)</f>
        <v>0</v>
      </c>
      <c r="T133" s="283" t="n">
        <f aca="false">IF(N133=1,1,0)</f>
        <v>0</v>
      </c>
      <c r="U133" s="283" t="n">
        <f aca="false">U132+T133</f>
        <v>43</v>
      </c>
      <c r="V133" s="283" t="n">
        <f aca="false">IF(T133=0,0,U133)</f>
        <v>0</v>
      </c>
    </row>
    <row r="134" customFormat="false" ht="77.6" hidden="false" customHeight="false" outlineLevel="0" collapsed="false">
      <c r="A134" s="311" t="str">
        <f aca="false">Questions!$A134</f>
        <v>DATA-23</v>
      </c>
      <c r="B134" s="311" t="str">
        <f aca="false">LEFT(A134,4)</f>
        <v>DATA</v>
      </c>
      <c r="C134" s="311" t="str">
        <f aca="false">VLOOKUP($A134,Questions!$A$3:$L$333,2,0)&amp;""</f>
        <v>Do you have a cryptographic key management process (generation, exchange, storage, safeguards, use, vetting, and replacement) that is documented and currently implemented, for all system components (e.g., database, system, web, etc.)?</v>
      </c>
      <c r="D134" s="311" t="str">
        <f aca="false">VLOOKUP($A134,Questions!$A$3:$L$333,11,0)&amp;""</f>
        <v/>
      </c>
      <c r="E134" s="311" t="str">
        <f aca="false">VLOOKUP($A134,Questions!$A$3:$L$333,12,0)&amp;""</f>
        <v>Product</v>
      </c>
      <c r="F134" s="311" t="str">
        <f aca="false">VLOOKUP($A134,'Institution Evaluation'!$A$56:$K$346,3,0)&amp;""</f>
        <v/>
      </c>
      <c r="G134" s="311" t="str">
        <f aca="false">VLOOKUP($A134,'Institution Evaluation'!$A$56:$K$346,7,0)&amp;""</f>
        <v>Yes</v>
      </c>
      <c r="H134" s="311" t="str">
        <f aca="false">VLOOKUP($A134,'Institution Evaluation'!$A$56:$K$346,8,0)&amp;""</f>
        <v/>
      </c>
      <c r="I134" s="311" t="str">
        <f aca="false">VLOOKUP($A134,'Institution Evaluation'!$A$56:$K$346,9,0)&amp;""</f>
        <v>Minor Importance</v>
      </c>
      <c r="J134" s="311" t="str">
        <f aca="false">VLOOKUP($A134,'Institution Evaluation'!$A$56:$K$346,10,0)&amp;""</f>
        <v/>
      </c>
      <c r="K134" s="311" t="n">
        <f aca="false">IF($I134="Critical Importance",20,IF($I134="Minor Importance",5,10))</f>
        <v>5</v>
      </c>
      <c r="L134" s="283" t="n">
        <f aca="false">IF($E134="Not Scored", "N/A",IF(AND($D134='Auto Responses'!$J$27,$H134=""),"N/A",IF(AND($D134='Auto Responses'!$J$27,$H134='Auto Responses'!$J$7),1,IF(AND($D134='Auto Responses'!$J$27,$H134='Auto Responses'!$J$8),0,IF(OR($F134=$G134,$H134='Auto Responses'!$J$7),1,0)))))</f>
        <v>0</v>
      </c>
      <c r="M134" s="311" t="str">
        <f aca="false">VLOOKUP($A134,'Institution Evaluation'!$A$56:$K$346,10,0)&amp;""</f>
        <v/>
      </c>
      <c r="N134" s="311" t="n">
        <f aca="false">IF($J134="Critical Importance",1,IF(AND($J134="",$I134="Critical Importance"),1,0))</f>
        <v>0</v>
      </c>
      <c r="O134" s="283" t="n">
        <f aca="false">IF($E134="Not Scored","N/A",IF($J134="",$K134,IF($J134="Minor Importance",5,IF($J134="Standard Importance",10,IF($J134="Critical Importance",20,0)))))</f>
        <v>5</v>
      </c>
      <c r="P134" s="283" t="n">
        <f aca="false">IF(OR($O134="N/A",$L134="N/A"),"N/A",$O134*$L134)</f>
        <v>0</v>
      </c>
      <c r="Q134" s="283" t="n">
        <f aca="false">IF(M134="TRUE",1,0)</f>
        <v>0</v>
      </c>
      <c r="R134" s="283" t="n">
        <f aca="false">R133+Q134</f>
        <v>0</v>
      </c>
      <c r="S134" s="283" t="n">
        <f aca="false">IF(Q134=0,0,R134)</f>
        <v>0</v>
      </c>
      <c r="T134" s="283" t="n">
        <f aca="false">IF(N134=1,1,0)</f>
        <v>0</v>
      </c>
      <c r="U134" s="283" t="n">
        <f aca="false">U133+T134</f>
        <v>43</v>
      </c>
      <c r="V134" s="283" t="n">
        <f aca="false">IF(T134=0,0,U134)</f>
        <v>0</v>
      </c>
    </row>
    <row r="135" customFormat="false" ht="15" hidden="false" customHeight="false" outlineLevel="0" collapsed="false">
      <c r="A135" s="311" t="str">
        <f aca="false">Questions!$A135</f>
        <v>DCTR-01</v>
      </c>
      <c r="B135" s="311" t="str">
        <f aca="false">LEFT(A135,4)</f>
        <v>DCTR</v>
      </c>
      <c r="C135" s="311" t="str">
        <f aca="false">VLOOKUP($A135,Questions!$A$3:$L$333,2,0)&amp;""</f>
        <v>Select your hosting option.</v>
      </c>
      <c r="D135" s="311" t="str">
        <f aca="false">VLOOKUP($A135,Questions!$A$3:$L$333,11,0)&amp;""</f>
        <v/>
      </c>
      <c r="E135" s="311" t="str">
        <f aca="false">VLOOKUP($A135,Questions!$A$3:$L$333,12,0)&amp;""</f>
        <v>Not scored</v>
      </c>
      <c r="F135" s="311" t="str">
        <f aca="false">VLOOKUP($A135,'Institution Evaluation'!$A$56:$K$346,3,0)&amp;""</f>
        <v/>
      </c>
      <c r="G135" s="311" t="str">
        <f aca="false">VLOOKUP($A135,'Institution Evaluation'!$A$56:$K$346,7,0)&amp;""</f>
        <v>Not scored</v>
      </c>
      <c r="H135" s="311" t="str">
        <f aca="false">VLOOKUP($A135,'Institution Evaluation'!$A$56:$K$346,8,0)&amp;""</f>
        <v/>
      </c>
      <c r="I135" s="311" t="str">
        <f aca="false">VLOOKUP($A135,'Institution Evaluation'!$A$56:$K$346,9,0)&amp;""</f>
        <v/>
      </c>
      <c r="J135" s="311" t="str">
        <f aca="false">VLOOKUP($A135,'Institution Evaluation'!$A$56:$K$346,10,0)&amp;""</f>
        <v/>
      </c>
      <c r="K135" s="311" t="n">
        <f aca="false">IF($I135="Critical Importance",20,IF($I135="Minor Importance",5,10))</f>
        <v>10</v>
      </c>
      <c r="L135" s="283" t="str">
        <f aca="false">IF(OR($E135="Not Scored",$F135=""),"N/A",IF(AND($D135='Auto Responses'!$J$27,$H135=""),"N/A",IF(AND($D135='Auto Responses'!$J$27,$H135='Auto Responses'!$J$7),1,IF(AND($D135='Auto Responses'!$J$27,$H135='Auto Responses'!$J$8),0,IF(OR($F135=$G135,$H135='Auto Responses'!$J$7),1,0)))))</f>
        <v>N/A</v>
      </c>
      <c r="M135" s="311" t="str">
        <f aca="false">VLOOKUP($A135,'Institution Evaluation'!$A$56:$K$346,10,0)&amp;""</f>
        <v/>
      </c>
      <c r="N135" s="311" t="n">
        <f aca="false">IF($J135="Critical Importance",1,IF(AND($J135="",$I135="Critical Importance"),1,0))</f>
        <v>0</v>
      </c>
      <c r="O135" s="283" t="str">
        <f aca="false">IF(OR($F$17="No",$E135="Not Scored",$F135=""),"N/A",IF($J135="",$K135,IF($J135="Minor Importance",5,IF($J135="Standard Importance",10,IF($J135="Critical Importance",20,0)))))</f>
        <v>N/A</v>
      </c>
      <c r="P135" s="283" t="str">
        <f aca="false">IF(OR($O135="N/A",$L135="N/A"),"N/A",$O135*$L135)</f>
        <v>N/A</v>
      </c>
      <c r="Q135" s="283" t="n">
        <f aca="false">IF(M135="TRUE",1,0)</f>
        <v>0</v>
      </c>
      <c r="R135" s="283" t="n">
        <f aca="false">R134+Q135</f>
        <v>0</v>
      </c>
      <c r="S135" s="283" t="n">
        <f aca="false">IF(Q135=0,0,R135)</f>
        <v>0</v>
      </c>
      <c r="T135" s="283" t="n">
        <f aca="false">IF(N135=1,1,0)</f>
        <v>0</v>
      </c>
      <c r="U135" s="283" t="n">
        <f aca="false">U134+T135</f>
        <v>43</v>
      </c>
      <c r="V135" s="283" t="n">
        <f aca="false">IF(T135=0,0,U135)</f>
        <v>0</v>
      </c>
    </row>
    <row r="136" customFormat="false" ht="26.85" hidden="false" customHeight="false" outlineLevel="0" collapsed="false">
      <c r="A136" s="311" t="str">
        <f aca="false">Questions!$A136</f>
        <v>DCTR-02</v>
      </c>
      <c r="B136" s="311" t="str">
        <f aca="false">LEFT(A136,4)</f>
        <v>DCTR</v>
      </c>
      <c r="C136" s="311" t="str">
        <f aca="false">VLOOKUP($A136,Questions!$A$3:$L$333,2,0)&amp;""</f>
        <v>Is a SOC 2 Type 2 report available for the hosting environment?</v>
      </c>
      <c r="D136" s="311" t="str">
        <f aca="false">VLOOKUP($A136,Questions!$A$3:$L$333,11,0)&amp;""</f>
        <v/>
      </c>
      <c r="E136" s="311" t="str">
        <f aca="false">VLOOKUP($A136,Questions!$A$3:$L$333,12,0)&amp;""</f>
        <v>Infrastructure</v>
      </c>
      <c r="F136" s="311" t="str">
        <f aca="false">VLOOKUP($A136,'Institution Evaluation'!$A$56:$K$346,3,0)&amp;""</f>
        <v/>
      </c>
      <c r="G136" s="311" t="str">
        <f aca="false">VLOOKUP($A136,'Institution Evaluation'!$A$56:$K$346,7,0)&amp;""</f>
        <v>Yes</v>
      </c>
      <c r="H136" s="311" t="str">
        <f aca="false">VLOOKUP($A136,'Institution Evaluation'!$A$56:$K$346,8,0)&amp;""</f>
        <v/>
      </c>
      <c r="I136" s="311" t="str">
        <f aca="false">VLOOKUP($A136,'Institution Evaluation'!$A$56:$K$346,9,0)&amp;""</f>
        <v>Standard Importance</v>
      </c>
      <c r="J136" s="311" t="str">
        <f aca="false">VLOOKUP($A136,'Institution Evaluation'!$A$56:$K$346,10,0)&amp;""</f>
        <v/>
      </c>
      <c r="K136" s="311" t="n">
        <f aca="false">IF($I136="Critical Importance",20,IF($I136="Minor Importance",5,10))</f>
        <v>10</v>
      </c>
      <c r="L136" s="283" t="str">
        <f aca="false">IF(OR($E136="Not Scored",$F136=""),"N/A",IF(AND($D136='Auto Responses'!$J$27,$H136=""),"N/A",IF(AND($D136='Auto Responses'!$J$27,$H136='Auto Responses'!$J$7),1,IF(AND($D136='Auto Responses'!$J$27,$H136='Auto Responses'!$J$8),0,IF(OR($F136=$G136,$H136='Auto Responses'!$J$7),1,0)))))</f>
        <v>N/A</v>
      </c>
      <c r="M136" s="311" t="str">
        <f aca="false">VLOOKUP($A136,'Institution Evaluation'!$A$56:$K$346,10,0)&amp;""</f>
        <v/>
      </c>
      <c r="N136" s="311" t="n">
        <f aca="false">IF($J136="Critical Importance",1,IF(AND($J136="",$I136="Critical Importance"),1,0))</f>
        <v>0</v>
      </c>
      <c r="O136" s="283" t="str">
        <f aca="false">IF(OR($F$17="No",$E136="Not Scored",$F136=""),"N/A",IF($J136="",$K136,IF($J136="Minor Importance",5,IF($J136="Standard Importance",10,IF($J136="Critical Importance",20,0)))))</f>
        <v>N/A</v>
      </c>
      <c r="P136" s="283" t="str">
        <f aca="false">IF(OR($O136="N/A",$L136="N/A"),"N/A",$O136*$L136)</f>
        <v>N/A</v>
      </c>
      <c r="Q136" s="283" t="n">
        <f aca="false">IF(M136="TRUE",1,0)</f>
        <v>0</v>
      </c>
      <c r="R136" s="283" t="n">
        <f aca="false">R135+Q136</f>
        <v>0</v>
      </c>
      <c r="S136" s="283" t="n">
        <f aca="false">IF(Q136=0,0,R136)</f>
        <v>0</v>
      </c>
      <c r="T136" s="283" t="n">
        <f aca="false">IF(N136=1,1,0)</f>
        <v>0</v>
      </c>
      <c r="U136" s="283" t="n">
        <f aca="false">U135+T136</f>
        <v>43</v>
      </c>
      <c r="V136" s="283" t="n">
        <f aca="false">IF(T136=0,0,U136)</f>
        <v>0</v>
      </c>
    </row>
    <row r="137" customFormat="false" ht="39.55" hidden="false" customHeight="false" outlineLevel="0" collapsed="false">
      <c r="A137" s="311" t="str">
        <f aca="false">Questions!$A137</f>
        <v>DCTR-03</v>
      </c>
      <c r="B137" s="311" t="str">
        <f aca="false">LEFT(A137,4)</f>
        <v>DCTR</v>
      </c>
      <c r="C137" s="311" t="str">
        <f aca="false">VLOOKUP($A137,Questions!$A$3:$L$333,2,0)&amp;""</f>
        <v>Are you generally able to accommodate storing each institution's data within its geographic region?</v>
      </c>
      <c r="D137" s="311" t="str">
        <f aca="false">VLOOKUP($A137,Questions!$A$3:$L$333,11,0)&amp;""</f>
        <v/>
      </c>
      <c r="E137" s="311" t="str">
        <f aca="false">VLOOKUP($A137,Questions!$A$3:$L$333,12,0)&amp;""</f>
        <v>Infrastructure</v>
      </c>
      <c r="F137" s="311" t="str">
        <f aca="false">VLOOKUP($A137,'Institution Evaluation'!$A$56:$K$346,3,0)&amp;""</f>
        <v/>
      </c>
      <c r="G137" s="311" t="str">
        <f aca="false">VLOOKUP($A137,'Institution Evaluation'!$A$56:$K$346,7,0)&amp;""</f>
        <v>Yes</v>
      </c>
      <c r="H137" s="311" t="str">
        <f aca="false">VLOOKUP($A137,'Institution Evaluation'!$A$56:$K$346,8,0)&amp;""</f>
        <v/>
      </c>
      <c r="I137" s="311" t="str">
        <f aca="false">VLOOKUP($A137,'Institution Evaluation'!$A$56:$K$346,9,0)&amp;""</f>
        <v>Standard Importance</v>
      </c>
      <c r="J137" s="311" t="str">
        <f aca="false">VLOOKUP($A137,'Institution Evaluation'!$A$56:$K$346,10,0)&amp;""</f>
        <v/>
      </c>
      <c r="K137" s="311" t="n">
        <f aca="false">IF($I137="Critical Importance",20,IF($I137="Minor Importance",5,10))</f>
        <v>10</v>
      </c>
      <c r="L137" s="283" t="str">
        <f aca="false">IF(OR($E137="Not Scored",$F137=""),"N/A",IF(AND($D137='Auto Responses'!$J$27,$H137=""),"N/A",IF(AND($D137='Auto Responses'!$J$27,$H137='Auto Responses'!$J$7),1,IF(AND($D137='Auto Responses'!$J$27,$H137='Auto Responses'!$J$8),0,IF(OR($F137=$G137,$H137='Auto Responses'!$J$7),1,0)))))</f>
        <v>N/A</v>
      </c>
      <c r="M137" s="311" t="str">
        <f aca="false">VLOOKUP($A137,'Institution Evaluation'!$A$56:$K$346,10,0)&amp;""</f>
        <v/>
      </c>
      <c r="N137" s="311" t="n">
        <f aca="false">IF($J137="Critical Importance",1,IF(AND($J137="",$I137="Critical Importance"),1,0))</f>
        <v>0</v>
      </c>
      <c r="O137" s="283" t="str">
        <f aca="false">IF(OR($F$17="No",$E137="Not Scored",$F137=""),"N/A",IF($J137="",$K137,IF($J137="Minor Importance",5,IF($J137="Standard Importance",10,IF($J137="Critical Importance",20,0)))))</f>
        <v>N/A</v>
      </c>
      <c r="P137" s="283" t="str">
        <f aca="false">IF(OR($O137="N/A",$L137="N/A"),"N/A",$O137*$L137)</f>
        <v>N/A</v>
      </c>
      <c r="Q137" s="283" t="n">
        <f aca="false">IF(M137="TRUE",1,0)</f>
        <v>0</v>
      </c>
      <c r="R137" s="283" t="n">
        <f aca="false">R136+Q137</f>
        <v>0</v>
      </c>
      <c r="S137" s="283" t="n">
        <f aca="false">IF(Q137=0,0,R137)</f>
        <v>0</v>
      </c>
      <c r="T137" s="283" t="n">
        <f aca="false">IF(N137=1,1,0)</f>
        <v>0</v>
      </c>
      <c r="U137" s="283" t="n">
        <f aca="false">U136+T137</f>
        <v>43</v>
      </c>
      <c r="V137" s="283" t="n">
        <f aca="false">IF(T137=0,0,U137)</f>
        <v>0</v>
      </c>
    </row>
    <row r="138" customFormat="false" ht="26.85" hidden="false" customHeight="false" outlineLevel="0" collapsed="false">
      <c r="A138" s="311" t="str">
        <f aca="false">Questions!$A138</f>
        <v>DCTR-04</v>
      </c>
      <c r="B138" s="311" t="str">
        <f aca="false">LEFT(A138,4)</f>
        <v>DCTR</v>
      </c>
      <c r="C138" s="311" t="str">
        <f aca="false">VLOOKUP($A138,Questions!$A$3:$L$333,2,0)&amp;""</f>
        <v>Are the data centers staffed 24 hours a day, seven days a week (i.e., 24 x 7 x 365)?</v>
      </c>
      <c r="D138" s="311" t="str">
        <f aca="false">VLOOKUP($A138,Questions!$A$3:$L$333,11,0)&amp;""</f>
        <v/>
      </c>
      <c r="E138" s="311" t="str">
        <f aca="false">VLOOKUP($A138,Questions!$A$3:$L$333,12,0)&amp;""</f>
        <v>Infrastructure</v>
      </c>
      <c r="F138" s="311" t="str">
        <f aca="false">VLOOKUP($A138,'Institution Evaluation'!$A$56:$K$346,3,0)&amp;""</f>
        <v/>
      </c>
      <c r="G138" s="311" t="str">
        <f aca="false">VLOOKUP($A138,'Institution Evaluation'!$A$56:$K$346,7,0)&amp;""</f>
        <v>Yes</v>
      </c>
      <c r="H138" s="311" t="str">
        <f aca="false">VLOOKUP($A138,'Institution Evaluation'!$A$56:$K$346,8,0)&amp;""</f>
        <v/>
      </c>
      <c r="I138" s="311" t="str">
        <f aca="false">VLOOKUP($A138,'Institution Evaluation'!$A$56:$K$346,9,0)&amp;""</f>
        <v>Standard Importance</v>
      </c>
      <c r="J138" s="311" t="str">
        <f aca="false">VLOOKUP($A138,'Institution Evaluation'!$A$56:$K$346,10,0)&amp;""</f>
        <v/>
      </c>
      <c r="K138" s="311" t="n">
        <f aca="false">IF($I138="Critical Importance",20,IF($I138="Minor Importance",5,10))</f>
        <v>10</v>
      </c>
      <c r="L138" s="283" t="str">
        <f aca="false">IF(OR($E138="Not Scored",$F138=""),"N/A",IF(AND($D138='Auto Responses'!$J$27,$H138=""),"N/A",IF(AND($D138='Auto Responses'!$J$27,$H138='Auto Responses'!$J$7),1,IF(AND($D138='Auto Responses'!$J$27,$H138='Auto Responses'!$J$8),0,IF(OR($F138=$G138,$H138='Auto Responses'!$J$7),1,0)))))</f>
        <v>N/A</v>
      </c>
      <c r="M138" s="311" t="str">
        <f aca="false">VLOOKUP($A138,'Institution Evaluation'!$A$56:$K$346,10,0)&amp;""</f>
        <v/>
      </c>
      <c r="N138" s="311" t="n">
        <f aca="false">IF($J138="Critical Importance",1,IF(AND($J138="",$I138="Critical Importance"),1,0))</f>
        <v>0</v>
      </c>
      <c r="O138" s="283" t="str">
        <f aca="false">IF(OR($F$17="No",$E138="Not Scored",$F138=""),"N/A",IF($J138="",$K138,IF($J138="Minor Importance",5,IF($J138="Standard Importance",10,IF($J138="Critical Importance",20,0)))))</f>
        <v>N/A</v>
      </c>
      <c r="P138" s="283" t="str">
        <f aca="false">IF(OR($O138="N/A",$L138="N/A"),"N/A",$O138*$L138)</f>
        <v>N/A</v>
      </c>
      <c r="Q138" s="283" t="n">
        <f aca="false">IF(M138="TRUE",1,0)</f>
        <v>0</v>
      </c>
      <c r="R138" s="283" t="n">
        <f aca="false">R137+Q138</f>
        <v>0</v>
      </c>
      <c r="S138" s="283" t="n">
        <f aca="false">IF(Q138=0,0,R138)</f>
        <v>0</v>
      </c>
      <c r="T138" s="283" t="n">
        <f aca="false">IF(N138=1,1,0)</f>
        <v>0</v>
      </c>
      <c r="U138" s="283" t="n">
        <f aca="false">U137+T138</f>
        <v>43</v>
      </c>
      <c r="V138" s="283" t="n">
        <f aca="false">IF(T138=0,0,U138)</f>
        <v>0</v>
      </c>
    </row>
    <row r="139" customFormat="false" ht="39.55" hidden="false" customHeight="false" outlineLevel="0" collapsed="false">
      <c r="A139" s="311" t="str">
        <f aca="false">Questions!$A139</f>
        <v>DCTR-05</v>
      </c>
      <c r="B139" s="311" t="str">
        <f aca="false">LEFT(A139,4)</f>
        <v>DCTR</v>
      </c>
      <c r="C139" s="311" t="str">
        <f aca="false">VLOOKUP($A139,Questions!$A$3:$L$333,2,0)&amp;""</f>
        <v>Are your servers separated from other companies via a physical barrier, such as a cage or hard walls?</v>
      </c>
      <c r="D139" s="311" t="str">
        <f aca="false">VLOOKUP($A139,Questions!$A$3:$L$333,11,0)&amp;""</f>
        <v/>
      </c>
      <c r="E139" s="311" t="str">
        <f aca="false">VLOOKUP($A139,Questions!$A$3:$L$333,12,0)&amp;""</f>
        <v>Infrastructure</v>
      </c>
      <c r="F139" s="311" t="str">
        <f aca="false">VLOOKUP($A139,'Institution Evaluation'!$A$56:$K$346,3,0)&amp;""</f>
        <v/>
      </c>
      <c r="G139" s="311" t="str">
        <f aca="false">VLOOKUP($A139,'Institution Evaluation'!$A$56:$K$346,7,0)&amp;""</f>
        <v>Yes</v>
      </c>
      <c r="H139" s="311" t="str">
        <f aca="false">VLOOKUP($A139,'Institution Evaluation'!$A$56:$K$346,8,0)&amp;""</f>
        <v/>
      </c>
      <c r="I139" s="311" t="str">
        <f aca="false">VLOOKUP($A139,'Institution Evaluation'!$A$56:$K$346,9,0)&amp;""</f>
        <v>Standard Importance</v>
      </c>
      <c r="J139" s="311" t="str">
        <f aca="false">VLOOKUP($A139,'Institution Evaluation'!$A$56:$K$346,10,0)&amp;""</f>
        <v/>
      </c>
      <c r="K139" s="311" t="n">
        <f aca="false">IF($I139="Critical Importance",20,IF($I139="Minor Importance",5,10))</f>
        <v>10</v>
      </c>
      <c r="L139" s="283" t="str">
        <f aca="false">IF(OR($E139="Not Scored",$F139=""),"N/A",IF(AND($D139='Auto Responses'!$J$27,$H139=""),"N/A",IF(AND($D139='Auto Responses'!$J$27,$H139='Auto Responses'!$J$7),1,IF(AND($D139='Auto Responses'!$J$27,$H139='Auto Responses'!$J$8),0,IF(OR($F139=$G139,$H139='Auto Responses'!$J$7),1,0)))))</f>
        <v>N/A</v>
      </c>
      <c r="M139" s="311" t="str">
        <f aca="false">VLOOKUP($A139,'Institution Evaluation'!$A$56:$K$346,10,0)&amp;""</f>
        <v/>
      </c>
      <c r="N139" s="311" t="n">
        <f aca="false">IF($J139="Critical Importance",1,IF(AND($J139="",$I139="Critical Importance"),1,0))</f>
        <v>0</v>
      </c>
      <c r="O139" s="283" t="str">
        <f aca="false">IF(OR($F$17="No",$E139="Not Scored",$F139=""),"N/A",IF($J139="",$K139,IF($J139="Minor Importance",5,IF($J139="Standard Importance",10,IF($J139="Critical Importance",20,0)))))</f>
        <v>N/A</v>
      </c>
      <c r="P139" s="283" t="str">
        <f aca="false">IF(OR($O139="N/A",$L139="N/A"),"N/A",$O139*$L139)</f>
        <v>N/A</v>
      </c>
      <c r="Q139" s="283" t="n">
        <f aca="false">IF(M139="TRUE",1,0)</f>
        <v>0</v>
      </c>
      <c r="R139" s="283" t="n">
        <f aca="false">R138+Q139</f>
        <v>0</v>
      </c>
      <c r="S139" s="283" t="n">
        <f aca="false">IF(Q139=0,0,R139)</f>
        <v>0</v>
      </c>
      <c r="T139" s="283" t="n">
        <f aca="false">IF(N139=1,1,0)</f>
        <v>0</v>
      </c>
      <c r="U139" s="283" t="n">
        <f aca="false">U138+T139</f>
        <v>43</v>
      </c>
      <c r="V139" s="283" t="n">
        <f aca="false">IF(T139=0,0,U139)</f>
        <v>0</v>
      </c>
    </row>
    <row r="140" customFormat="false" ht="39.55" hidden="false" customHeight="false" outlineLevel="0" collapsed="false">
      <c r="A140" s="311" t="str">
        <f aca="false">Questions!$A140</f>
        <v>DCTR-06</v>
      </c>
      <c r="B140" s="311" t="str">
        <f aca="false">LEFT(A140,4)</f>
        <v>DCTR</v>
      </c>
      <c r="C140" s="311" t="str">
        <f aca="false">VLOOKUP($A140,Questions!$A$3:$L$333,2,0)&amp;""</f>
        <v>Does a physical barrier fully enclose the physical space, preventing unauthorized physical contact with any of your devices?*</v>
      </c>
      <c r="D140" s="311" t="str">
        <f aca="false">VLOOKUP($A140,Questions!$A$3:$L$333,11,0)&amp;""</f>
        <v/>
      </c>
      <c r="E140" s="311" t="str">
        <f aca="false">VLOOKUP($A140,Questions!$A$3:$L$333,12,0)&amp;""</f>
        <v>Infrastructure</v>
      </c>
      <c r="F140" s="311" t="str">
        <f aca="false">VLOOKUP($A140,'Institution Evaluation'!$A$56:$K$346,3,0)&amp;""</f>
        <v/>
      </c>
      <c r="G140" s="311" t="str">
        <f aca="false">VLOOKUP($A140,'Institution Evaluation'!$A$56:$K$346,7,0)&amp;""</f>
        <v>Yes</v>
      </c>
      <c r="H140" s="311" t="str">
        <f aca="false">VLOOKUP($A140,'Institution Evaluation'!$A$56:$K$346,8,0)&amp;""</f>
        <v/>
      </c>
      <c r="I140" s="311" t="str">
        <f aca="false">VLOOKUP($A140,'Institution Evaluation'!$A$56:$K$346,9,0)&amp;""</f>
        <v>Critical Importance</v>
      </c>
      <c r="J140" s="311" t="str">
        <f aca="false">VLOOKUP($A140,'Institution Evaluation'!$A$56:$K$346,10,0)&amp;""</f>
        <v/>
      </c>
      <c r="K140" s="311" t="n">
        <f aca="false">IF($I140="Critical Importance",20,IF($I140="Minor Importance",5,10))</f>
        <v>20</v>
      </c>
      <c r="L140" s="283" t="str">
        <f aca="false">IF(OR($E140="Not Scored",$F140=""),"N/A",IF(AND($D140='Auto Responses'!$J$27,$H140=""),"N/A",IF(AND($D140='Auto Responses'!$J$27,$H140='Auto Responses'!$J$7),1,IF(AND($D140='Auto Responses'!$J$27,$H140='Auto Responses'!$J$8),0,IF(OR($F140=$G140,$H140='Auto Responses'!$J$7),1,0)))))</f>
        <v>N/A</v>
      </c>
      <c r="M140" s="311" t="str">
        <f aca="false">VLOOKUP($A140,'Institution Evaluation'!$A$56:$K$346,10,0)&amp;""</f>
        <v/>
      </c>
      <c r="N140" s="311" t="n">
        <f aca="false">IF($J140="Critical Importance",1,IF(AND($J140="",$I140="Critical Importance"),1,0))</f>
        <v>1</v>
      </c>
      <c r="O140" s="283" t="str">
        <f aca="false">IF(OR($F$17="No",$E140="Not Scored",$F140=""),"N/A",IF($J140="",$K140,IF($J140="Minor Importance",5,IF($J140="Standard Importance",10,IF($J140="Critical Importance",20,0)))))</f>
        <v>N/A</v>
      </c>
      <c r="P140" s="283" t="str">
        <f aca="false">IF(OR($O140="N/A",$L140="N/A"),"N/A",$O140*$L140)</f>
        <v>N/A</v>
      </c>
      <c r="Q140" s="283" t="n">
        <f aca="false">IF(M140="TRUE",1,0)</f>
        <v>0</v>
      </c>
      <c r="R140" s="283" t="n">
        <f aca="false">R139+Q140</f>
        <v>0</v>
      </c>
      <c r="S140" s="283" t="n">
        <f aca="false">IF(Q140=0,0,R140)</f>
        <v>0</v>
      </c>
      <c r="T140" s="283" t="n">
        <f aca="false">IF(N140=1,1,0)</f>
        <v>1</v>
      </c>
      <c r="U140" s="283" t="n">
        <f aca="false">U139+T140</f>
        <v>44</v>
      </c>
      <c r="V140" s="283" t="n">
        <f aca="false">IF(T140=0,0,U140)</f>
        <v>44</v>
      </c>
    </row>
    <row r="141" customFormat="false" ht="26.85" hidden="false" customHeight="false" outlineLevel="0" collapsed="false">
      <c r="A141" s="311" t="str">
        <f aca="false">Questions!$A141</f>
        <v>DCTR-07</v>
      </c>
      <c r="B141" s="311" t="str">
        <f aca="false">LEFT(A141,4)</f>
        <v>DCTR</v>
      </c>
      <c r="C141" s="311" t="str">
        <f aca="false">VLOOKUP($A141,Questions!$A$3:$L$333,2,0)&amp;""</f>
        <v>Are your primary and secondary data centers geographically diverse?</v>
      </c>
      <c r="D141" s="311" t="str">
        <f aca="false">VLOOKUP($A141,Questions!$A$3:$L$333,11,0)&amp;""</f>
        <v/>
      </c>
      <c r="E141" s="311" t="str">
        <f aca="false">VLOOKUP($A141,Questions!$A$3:$L$333,12,0)&amp;""</f>
        <v>Infrastructure</v>
      </c>
      <c r="F141" s="311" t="str">
        <f aca="false">VLOOKUP($A141,'Institution Evaluation'!$A$56:$K$346,3,0)&amp;""</f>
        <v/>
      </c>
      <c r="G141" s="311" t="str">
        <f aca="false">VLOOKUP($A141,'Institution Evaluation'!$A$56:$K$346,7,0)&amp;""</f>
        <v>Yes</v>
      </c>
      <c r="H141" s="311" t="str">
        <f aca="false">VLOOKUP($A141,'Institution Evaluation'!$A$56:$K$346,8,0)&amp;""</f>
        <v/>
      </c>
      <c r="I141" s="311" t="str">
        <f aca="false">VLOOKUP($A141,'Institution Evaluation'!$A$56:$K$346,9,0)&amp;""</f>
        <v>Standard Importance</v>
      </c>
      <c r="J141" s="311" t="str">
        <f aca="false">VLOOKUP($A141,'Institution Evaluation'!$A$56:$K$346,10,0)&amp;""</f>
        <v/>
      </c>
      <c r="K141" s="311" t="n">
        <f aca="false">IF($I141="Critical Importance",20,IF($I141="Minor Importance",5,10))</f>
        <v>10</v>
      </c>
      <c r="L141" s="283" t="str">
        <f aca="false">IF(OR($E141="Not Scored",$F141=""),"N/A",IF(AND($D141='Auto Responses'!$J$27,$H141=""),"N/A",IF(AND($D141='Auto Responses'!$J$27,$H141='Auto Responses'!$J$7),1,IF(AND($D141='Auto Responses'!$J$27,$H141='Auto Responses'!$J$8),0,IF(OR($F141=$G141,$H141='Auto Responses'!$J$7),1,0)))))</f>
        <v>N/A</v>
      </c>
      <c r="M141" s="311" t="str">
        <f aca="false">VLOOKUP($A141,'Institution Evaluation'!$A$56:$K$346,10,0)&amp;""</f>
        <v/>
      </c>
      <c r="N141" s="311" t="n">
        <f aca="false">IF($J141="Critical Importance",1,IF(AND($J141="",$I141="Critical Importance"),1,0))</f>
        <v>0</v>
      </c>
      <c r="O141" s="283" t="str">
        <f aca="false">IF(OR($F$17="No",$E141="Not Scored",$F141=""),"N/A",IF($J141="",$K141,IF($J141="Minor Importance",5,IF($J141="Standard Importance",10,IF($J141="Critical Importance",20,0)))))</f>
        <v>N/A</v>
      </c>
      <c r="P141" s="283" t="str">
        <f aca="false">IF(OR($O141="N/A",$L141="N/A"),"N/A",$O141*$L141)</f>
        <v>N/A</v>
      </c>
      <c r="Q141" s="283" t="n">
        <f aca="false">IF(M141="TRUE",1,0)</f>
        <v>0</v>
      </c>
      <c r="R141" s="283" t="n">
        <f aca="false">R140+Q141</f>
        <v>0</v>
      </c>
      <c r="S141" s="283" t="n">
        <f aca="false">IF(Q141=0,0,R141)</f>
        <v>0</v>
      </c>
      <c r="T141" s="283" t="n">
        <f aca="false">IF(N141=1,1,0)</f>
        <v>0</v>
      </c>
      <c r="U141" s="283" t="n">
        <f aca="false">U140+T141</f>
        <v>44</v>
      </c>
      <c r="V141" s="283" t="n">
        <f aca="false">IF(T141=0,0,U141)</f>
        <v>0</v>
      </c>
    </row>
    <row r="142" customFormat="false" ht="26.85" hidden="false" customHeight="false" outlineLevel="0" collapsed="false">
      <c r="A142" s="311" t="str">
        <f aca="false">Questions!$A142</f>
        <v>DCTR-08</v>
      </c>
      <c r="B142" s="311" t="str">
        <f aca="false">LEFT(A142,4)</f>
        <v>DCTR</v>
      </c>
      <c r="C142" s="311" t="str">
        <f aca="false">VLOOKUP($A142,Questions!$A$3:$L$333,2,0)&amp;""</f>
        <v>Is the service hosted in a high-availability environment?</v>
      </c>
      <c r="D142" s="311" t="str">
        <f aca="false">VLOOKUP($A142,Questions!$A$3:$L$333,11,0)&amp;""</f>
        <v/>
      </c>
      <c r="E142" s="311" t="str">
        <f aca="false">VLOOKUP($A142,Questions!$A$3:$L$333,12,0)&amp;""</f>
        <v>Infrastructure</v>
      </c>
      <c r="F142" s="311" t="str">
        <f aca="false">VLOOKUP($A142,'Institution Evaluation'!$A$56:$K$346,3,0)&amp;""</f>
        <v/>
      </c>
      <c r="G142" s="311" t="str">
        <f aca="false">VLOOKUP($A142,'Institution Evaluation'!$A$56:$K$346,7,0)&amp;""</f>
        <v>Yes</v>
      </c>
      <c r="H142" s="311" t="str">
        <f aca="false">VLOOKUP($A142,'Institution Evaluation'!$A$56:$K$346,8,0)&amp;""</f>
        <v/>
      </c>
      <c r="I142" s="311" t="str">
        <f aca="false">VLOOKUP($A142,'Institution Evaluation'!$A$56:$K$346,9,0)&amp;""</f>
        <v>Standard Importance</v>
      </c>
      <c r="J142" s="311" t="str">
        <f aca="false">VLOOKUP($A142,'Institution Evaluation'!$A$56:$K$346,10,0)&amp;""</f>
        <v/>
      </c>
      <c r="K142" s="311" t="n">
        <f aca="false">IF($I142="Critical Importance",20,IF($I142="Minor Importance",5,10))</f>
        <v>10</v>
      </c>
      <c r="L142" s="283" t="str">
        <f aca="false">IF(OR($E142="Not Scored",$F142=""),"N/A",IF(AND($D142='Auto Responses'!$J$27,$H142=""),"N/A",IF(AND($D142='Auto Responses'!$J$27,$H142='Auto Responses'!$J$7),1,IF(AND($D142='Auto Responses'!$J$27,$H142='Auto Responses'!$J$8),0,IF(OR($F142=$G142,$H142='Auto Responses'!$J$7),1,0)))))</f>
        <v>N/A</v>
      </c>
      <c r="M142" s="311" t="str">
        <f aca="false">VLOOKUP($A142,'Institution Evaluation'!$A$56:$K$346,10,0)&amp;""</f>
        <v/>
      </c>
      <c r="N142" s="311" t="n">
        <f aca="false">IF($J142="Critical Importance",1,IF(AND($J142="",$I142="Critical Importance"),1,0))</f>
        <v>0</v>
      </c>
      <c r="O142" s="283" t="str">
        <f aca="false">IF(OR($F$17="No",$E142="Not Scored",$F142=""),"N/A",IF($J142="",$K142,IF($J142="Minor Importance",5,IF($J142="Standard Importance",10,IF($J142="Critical Importance",20,0)))))</f>
        <v>N/A</v>
      </c>
      <c r="P142" s="283" t="str">
        <f aca="false">IF(OR($O142="N/A",$L142="N/A"),"N/A",$O142*$L142)</f>
        <v>N/A</v>
      </c>
      <c r="Q142" s="283" t="n">
        <f aca="false">IF(M142="TRUE",1,0)</f>
        <v>0</v>
      </c>
      <c r="R142" s="283" t="n">
        <f aca="false">R141+Q142</f>
        <v>0</v>
      </c>
      <c r="S142" s="283" t="n">
        <f aca="false">IF(Q142=0,0,R142)</f>
        <v>0</v>
      </c>
      <c r="T142" s="283" t="n">
        <f aca="false">IF(N142=1,1,0)</f>
        <v>0</v>
      </c>
      <c r="U142" s="283" t="n">
        <f aca="false">U141+T142</f>
        <v>44</v>
      </c>
      <c r="V142" s="283" t="n">
        <f aca="false">IF(T142=0,0,U142)</f>
        <v>0</v>
      </c>
    </row>
    <row r="143" customFormat="false" ht="26.85" hidden="false" customHeight="false" outlineLevel="0" collapsed="false">
      <c r="A143" s="311" t="str">
        <f aca="false">Questions!$A143</f>
        <v>DCTR-09</v>
      </c>
      <c r="B143" s="311" t="str">
        <f aca="false">LEFT(A143,4)</f>
        <v>DCTR</v>
      </c>
      <c r="C143" s="311" t="str">
        <f aca="false">VLOOKUP($A143,Questions!$A$3:$L$333,2,0)&amp;""</f>
        <v>Is redundant power available for all data centers where institutional data will reside?</v>
      </c>
      <c r="D143" s="311" t="str">
        <f aca="false">VLOOKUP($A143,Questions!$A$3:$L$333,11,0)&amp;""</f>
        <v/>
      </c>
      <c r="E143" s="311" t="str">
        <f aca="false">VLOOKUP($A143,Questions!$A$3:$L$333,12,0)&amp;""</f>
        <v>Infrastructure</v>
      </c>
      <c r="F143" s="311" t="str">
        <f aca="false">VLOOKUP($A143,'Institution Evaluation'!$A$56:$K$346,3,0)&amp;""</f>
        <v/>
      </c>
      <c r="G143" s="311" t="str">
        <f aca="false">VLOOKUP($A143,'Institution Evaluation'!$A$56:$K$346,7,0)&amp;""</f>
        <v>Yes</v>
      </c>
      <c r="H143" s="311" t="str">
        <f aca="false">VLOOKUP($A143,'Institution Evaluation'!$A$56:$K$346,8,0)&amp;""</f>
        <v/>
      </c>
      <c r="I143" s="311" t="str">
        <f aca="false">VLOOKUP($A143,'Institution Evaluation'!$A$56:$K$346,9,0)&amp;""</f>
        <v>Standard Importance</v>
      </c>
      <c r="J143" s="311" t="str">
        <f aca="false">VLOOKUP($A143,'Institution Evaluation'!$A$56:$K$346,10,0)&amp;""</f>
        <v/>
      </c>
      <c r="K143" s="311" t="n">
        <f aca="false">IF($I143="Critical Importance",20,IF($I143="Minor Importance",5,10))</f>
        <v>10</v>
      </c>
      <c r="L143" s="283" t="str">
        <f aca="false">IF(OR($E143="Not Scored",$F143=""),"N/A",IF(AND($D143='Auto Responses'!$J$27,$H143=""),"N/A",IF(AND($D143='Auto Responses'!$J$27,$H143='Auto Responses'!$J$7),1,IF(AND($D143='Auto Responses'!$J$27,$H143='Auto Responses'!$J$8),0,IF(OR($F143=$G143,$H143='Auto Responses'!$J$7),1,0)))))</f>
        <v>N/A</v>
      </c>
      <c r="M143" s="311" t="str">
        <f aca="false">VLOOKUP($A143,'Institution Evaluation'!$A$56:$K$346,10,0)&amp;""</f>
        <v/>
      </c>
      <c r="N143" s="311" t="n">
        <f aca="false">IF($J143="Critical Importance",1,IF(AND($J143="",$I143="Critical Importance"),1,0))</f>
        <v>0</v>
      </c>
      <c r="O143" s="283" t="str">
        <f aca="false">IF(OR($F$17="No",$E143="Not Scored",$F143=""),"N/A",IF($J143="",$K143,IF($J143="Minor Importance",5,IF($J143="Standard Importance",10,IF($J143="Critical Importance",20,0)))))</f>
        <v>N/A</v>
      </c>
      <c r="P143" s="283" t="str">
        <f aca="false">IF(OR($O143="N/A",$L143="N/A"),"N/A",$O143*$L143)</f>
        <v>N/A</v>
      </c>
      <c r="Q143" s="283" t="n">
        <f aca="false">IF(M143="TRUE",1,0)</f>
        <v>0</v>
      </c>
      <c r="R143" s="283" t="n">
        <f aca="false">R142+Q143</f>
        <v>0</v>
      </c>
      <c r="S143" s="283" t="n">
        <f aca="false">IF(Q143=0,0,R143)</f>
        <v>0</v>
      </c>
      <c r="T143" s="283" t="n">
        <f aca="false">IF(N143=1,1,0)</f>
        <v>0</v>
      </c>
      <c r="U143" s="283" t="n">
        <f aca="false">U142+T143</f>
        <v>44</v>
      </c>
      <c r="V143" s="283" t="n">
        <f aca="false">IF(T143=0,0,U143)</f>
        <v>0</v>
      </c>
    </row>
    <row r="144" customFormat="false" ht="26.85" hidden="false" customHeight="false" outlineLevel="0" collapsed="false">
      <c r="A144" s="311" t="str">
        <f aca="false">Questions!$A144</f>
        <v>DCTR-10</v>
      </c>
      <c r="B144" s="311" t="str">
        <f aca="false">LEFT(A144,4)</f>
        <v>DCTR</v>
      </c>
      <c r="C144" s="311" t="str">
        <f aca="false">VLOOKUP($A144,Questions!$A$3:$L$333,2,0)&amp;""</f>
        <v>Are redundant power strategies tested?*</v>
      </c>
      <c r="D144" s="311" t="str">
        <f aca="false">VLOOKUP($A144,Questions!$A$3:$L$333,11,0)&amp;""</f>
        <v/>
      </c>
      <c r="E144" s="311" t="str">
        <f aca="false">VLOOKUP($A144,Questions!$A$3:$L$333,12,0)&amp;""</f>
        <v>Infrastructure</v>
      </c>
      <c r="F144" s="311" t="str">
        <f aca="false">VLOOKUP($A144,'Institution Evaluation'!$A$56:$K$346,3,0)&amp;""</f>
        <v/>
      </c>
      <c r="G144" s="311" t="str">
        <f aca="false">VLOOKUP($A144,'Institution Evaluation'!$A$56:$K$346,7,0)&amp;""</f>
        <v>Yes</v>
      </c>
      <c r="H144" s="311" t="str">
        <f aca="false">VLOOKUP($A144,'Institution Evaluation'!$A$56:$K$346,8,0)&amp;""</f>
        <v/>
      </c>
      <c r="I144" s="311" t="str">
        <f aca="false">VLOOKUP($A144,'Institution Evaluation'!$A$56:$K$346,9,0)&amp;""</f>
        <v>Critical Importance</v>
      </c>
      <c r="J144" s="311" t="str">
        <f aca="false">VLOOKUP($A144,'Institution Evaluation'!$A$56:$K$346,10,0)&amp;""</f>
        <v/>
      </c>
      <c r="K144" s="311" t="n">
        <f aca="false">IF($I144="Critical Importance",20,IF($I144="Minor Importance",5,10))</f>
        <v>20</v>
      </c>
      <c r="L144" s="283" t="str">
        <f aca="false">IF(OR($E144="Not Scored",$F144=""),"N/A",IF(AND($D144='Auto Responses'!$J$27,$H144=""),"N/A",IF(AND($D144='Auto Responses'!$J$27,$H144='Auto Responses'!$J$7),1,IF(AND($D144='Auto Responses'!$J$27,$H144='Auto Responses'!$J$8),0,IF(OR($F144=$G144,$H144='Auto Responses'!$J$7),1,0)))))</f>
        <v>N/A</v>
      </c>
      <c r="M144" s="311" t="str">
        <f aca="false">VLOOKUP($A144,'Institution Evaluation'!$A$56:$K$346,10,0)&amp;""</f>
        <v/>
      </c>
      <c r="N144" s="311" t="n">
        <f aca="false">IF($J144="Critical Importance",1,IF(AND($J144="",$I144="Critical Importance"),1,0))</f>
        <v>1</v>
      </c>
      <c r="O144" s="283" t="str">
        <f aca="false">IF(OR($F$17="No",$E144="Not Scored",$F144=""),"N/A",IF($J144="",$K144,IF($J144="Minor Importance",5,IF($J144="Standard Importance",10,IF($J144="Critical Importance",20,0)))))</f>
        <v>N/A</v>
      </c>
      <c r="P144" s="283" t="str">
        <f aca="false">IF(OR($O144="N/A",$L144="N/A"),"N/A",$O144*$L144)</f>
        <v>N/A</v>
      </c>
      <c r="Q144" s="283" t="n">
        <f aca="false">IF(M144="TRUE",1,0)</f>
        <v>0</v>
      </c>
      <c r="R144" s="283" t="n">
        <f aca="false">R143+Q144</f>
        <v>0</v>
      </c>
      <c r="S144" s="283" t="n">
        <f aca="false">IF(Q144=0,0,R144)</f>
        <v>0</v>
      </c>
      <c r="T144" s="283" t="n">
        <f aca="false">IF(N144=1,1,0)</f>
        <v>1</v>
      </c>
      <c r="U144" s="283" t="n">
        <f aca="false">U143+T144</f>
        <v>45</v>
      </c>
      <c r="V144" s="283" t="n">
        <f aca="false">IF(T144=0,0,U144)</f>
        <v>45</v>
      </c>
    </row>
    <row r="145" customFormat="false" ht="39.55" hidden="false" customHeight="false" outlineLevel="0" collapsed="false">
      <c r="A145" s="311" t="str">
        <f aca="false">Questions!$A145</f>
        <v>DCTR-11</v>
      </c>
      <c r="B145" s="311" t="str">
        <f aca="false">LEFT(A145,4)</f>
        <v>DCTR</v>
      </c>
      <c r="C145" s="311" t="str">
        <f aca="false">VLOOKUP($A145,Questions!$A$3:$L$333,2,0)&amp;""</f>
        <v>Does the center where the data will reside have cooling and fire-suppression systems that are active and regularly tested?</v>
      </c>
      <c r="D145" s="311" t="str">
        <f aca="false">VLOOKUP($A145,Questions!$A$3:$L$333,11,0)&amp;""</f>
        <v/>
      </c>
      <c r="E145" s="311" t="str">
        <f aca="false">VLOOKUP($A145,Questions!$A$3:$L$333,12,0)&amp;""</f>
        <v>Infrastructure</v>
      </c>
      <c r="F145" s="311" t="str">
        <f aca="false">VLOOKUP($A145,'Institution Evaluation'!$A$56:$K$346,3,0)&amp;""</f>
        <v/>
      </c>
      <c r="G145" s="311" t="str">
        <f aca="false">VLOOKUP($A145,'Institution Evaluation'!$A$56:$K$346,7,0)&amp;""</f>
        <v>Yes</v>
      </c>
      <c r="H145" s="311" t="str">
        <f aca="false">VLOOKUP($A145,'Institution Evaluation'!$A$56:$K$346,8,0)&amp;""</f>
        <v/>
      </c>
      <c r="I145" s="311" t="str">
        <f aca="false">VLOOKUP($A145,'Institution Evaluation'!$A$56:$K$346,9,0)&amp;""</f>
        <v>Standard Importance</v>
      </c>
      <c r="J145" s="311" t="str">
        <f aca="false">VLOOKUP($A145,'Institution Evaluation'!$A$56:$K$346,10,0)&amp;""</f>
        <v/>
      </c>
      <c r="K145" s="311" t="n">
        <f aca="false">IF($I145="Critical Importance",20,IF($I145="Minor Importance",5,10))</f>
        <v>10</v>
      </c>
      <c r="L145" s="283" t="str">
        <f aca="false">IF(OR($E145="Not Scored",$F145=""),"N/A",IF(AND($D145='Auto Responses'!$J$27,$H145=""),"N/A",IF(AND($D145='Auto Responses'!$J$27,$H145='Auto Responses'!$J$7),1,IF(AND($D145='Auto Responses'!$J$27,$H145='Auto Responses'!$J$8),0,IF(OR($F145=$G145,$H145='Auto Responses'!$J$7),1,0)))))</f>
        <v>N/A</v>
      </c>
      <c r="M145" s="311" t="str">
        <f aca="false">VLOOKUP($A145,'Institution Evaluation'!$A$56:$K$346,10,0)&amp;""</f>
        <v/>
      </c>
      <c r="N145" s="311" t="n">
        <f aca="false">IF($J145="Critical Importance",1,IF(AND($J145="",$I145="Critical Importance"),1,0))</f>
        <v>0</v>
      </c>
      <c r="O145" s="283" t="str">
        <f aca="false">IF(OR($F$17="No",$E145="Not Scored",$F145=""),"N/A",IF($J145="",$K145,IF($J145="Minor Importance",5,IF($J145="Standard Importance",10,IF($J145="Critical Importance",20,0)))))</f>
        <v>N/A</v>
      </c>
      <c r="P145" s="283" t="str">
        <f aca="false">IF(OR($O145="N/A",$L145="N/A"),"N/A",$O145*$L145)</f>
        <v>N/A</v>
      </c>
      <c r="Q145" s="283" t="n">
        <f aca="false">IF(M145="TRUE",1,0)</f>
        <v>0</v>
      </c>
      <c r="R145" s="283" t="n">
        <f aca="false">R144+Q145</f>
        <v>0</v>
      </c>
      <c r="S145" s="283" t="n">
        <f aca="false">IF(Q145=0,0,R145)</f>
        <v>0</v>
      </c>
      <c r="T145" s="283" t="n">
        <f aca="false">IF(N145=1,1,0)</f>
        <v>0</v>
      </c>
      <c r="U145" s="283" t="n">
        <f aca="false">U144+T145</f>
        <v>45</v>
      </c>
      <c r="V145" s="283" t="n">
        <f aca="false">IF(T145=0,0,U145)</f>
        <v>0</v>
      </c>
    </row>
    <row r="146" customFormat="false" ht="26.85" hidden="false" customHeight="false" outlineLevel="0" collapsed="false">
      <c r="A146" s="311" t="str">
        <f aca="false">Questions!$A146</f>
        <v>DCTR-12</v>
      </c>
      <c r="B146" s="311" t="str">
        <f aca="false">LEFT(A146,4)</f>
        <v>DCTR</v>
      </c>
      <c r="C146" s="311" t="str">
        <f aca="false">VLOOKUP($A146,Questions!$A$3:$L$333,2,0)&amp;""</f>
        <v>Do you have Internet Service Provider (ISP) redundancy?</v>
      </c>
      <c r="D146" s="311" t="str">
        <f aca="false">VLOOKUP($A146,Questions!$A$3:$L$333,11,0)&amp;""</f>
        <v/>
      </c>
      <c r="E146" s="311" t="str">
        <f aca="false">VLOOKUP($A146,Questions!$A$3:$L$333,12,0)&amp;""</f>
        <v>Infrastructure</v>
      </c>
      <c r="F146" s="311" t="str">
        <f aca="false">VLOOKUP($A146,'Institution Evaluation'!$A$56:$K$346,3,0)&amp;""</f>
        <v/>
      </c>
      <c r="G146" s="311" t="str">
        <f aca="false">VLOOKUP($A146,'Institution Evaluation'!$A$56:$K$346,7,0)&amp;""</f>
        <v>Yes</v>
      </c>
      <c r="H146" s="311" t="str">
        <f aca="false">VLOOKUP($A146,'Institution Evaluation'!$A$56:$K$346,8,0)&amp;""</f>
        <v/>
      </c>
      <c r="I146" s="311" t="str">
        <f aca="false">VLOOKUP($A146,'Institution Evaluation'!$A$56:$K$346,9,0)&amp;""</f>
        <v>Standard Importance</v>
      </c>
      <c r="J146" s="311" t="str">
        <f aca="false">VLOOKUP($A146,'Institution Evaluation'!$A$56:$K$346,10,0)&amp;""</f>
        <v/>
      </c>
      <c r="K146" s="311" t="n">
        <f aca="false">IF($I146="Critical Importance",20,IF($I146="Minor Importance",5,10))</f>
        <v>10</v>
      </c>
      <c r="L146" s="283" t="str">
        <f aca="false">IF(OR($E146="Not Scored",$F146=""),"N/A",IF(AND($D146='Auto Responses'!$J$27,$H146=""),"N/A",IF(AND($D146='Auto Responses'!$J$27,$H146='Auto Responses'!$J$7),1,IF(AND($D146='Auto Responses'!$J$27,$H146='Auto Responses'!$J$8),0,IF(OR($F146=$G146,$H146='Auto Responses'!$J$7),1,0)))))</f>
        <v>N/A</v>
      </c>
      <c r="M146" s="311" t="str">
        <f aca="false">VLOOKUP($A146,'Institution Evaluation'!$A$56:$K$346,10,0)&amp;""</f>
        <v/>
      </c>
      <c r="N146" s="311" t="n">
        <f aca="false">IF($J146="Critical Importance",1,IF(AND($J146="",$I146="Critical Importance"),1,0))</f>
        <v>0</v>
      </c>
      <c r="O146" s="283" t="str">
        <f aca="false">IF(OR($F$17="No",$E146="Not Scored",$F146=""),"N/A",IF($J146="",$K146,IF($J146="Minor Importance",5,IF($J146="Standard Importance",10,IF($J146="Critical Importance",20,0)))))</f>
        <v>N/A</v>
      </c>
      <c r="P146" s="283" t="str">
        <f aca="false">IF(OR($O146="N/A",$L146="N/A"),"N/A",$O146*$L146)</f>
        <v>N/A</v>
      </c>
      <c r="Q146" s="283" t="n">
        <f aca="false">IF(M146="TRUE",1,0)</f>
        <v>0</v>
      </c>
      <c r="R146" s="283" t="n">
        <f aca="false">R145+Q146</f>
        <v>0</v>
      </c>
      <c r="S146" s="283" t="n">
        <f aca="false">IF(Q146=0,0,R146)</f>
        <v>0</v>
      </c>
      <c r="T146" s="283" t="n">
        <f aca="false">IF(N146=1,1,0)</f>
        <v>0</v>
      </c>
      <c r="U146" s="283" t="n">
        <f aca="false">U145+T146</f>
        <v>45</v>
      </c>
      <c r="V146" s="283" t="n">
        <f aca="false">IF(T146=0,0,U146)</f>
        <v>0</v>
      </c>
    </row>
    <row r="147" customFormat="false" ht="52.2" hidden="false" customHeight="false" outlineLevel="0" collapsed="false">
      <c r="A147" s="311" t="str">
        <f aca="false">Questions!$A147</f>
        <v>DCTR-13</v>
      </c>
      <c r="B147" s="311" t="str">
        <f aca="false">LEFT(A147,4)</f>
        <v>DCTR</v>
      </c>
      <c r="C147" s="311" t="str">
        <f aca="false">VLOOKUP($A147,Questions!$A$3:$L$333,2,0)&amp;""</f>
        <v>Does every data center where the institution's data will reside have multiple telephone company or network provider entrances to the facility?</v>
      </c>
      <c r="D147" s="311" t="str">
        <f aca="false">VLOOKUP($A147,Questions!$A$3:$L$333,11,0)&amp;""</f>
        <v/>
      </c>
      <c r="E147" s="311" t="str">
        <f aca="false">VLOOKUP($A147,Questions!$A$3:$L$333,12,0)&amp;""</f>
        <v>Infrastructure</v>
      </c>
      <c r="F147" s="311" t="str">
        <f aca="false">VLOOKUP($A147,'Institution Evaluation'!$A$56:$K$346,3,0)&amp;""</f>
        <v/>
      </c>
      <c r="G147" s="311" t="str">
        <f aca="false">VLOOKUP($A147,'Institution Evaluation'!$A$56:$K$346,7,0)&amp;""</f>
        <v>Yes</v>
      </c>
      <c r="H147" s="311" t="str">
        <f aca="false">VLOOKUP($A147,'Institution Evaluation'!$A$56:$K$346,8,0)&amp;""</f>
        <v/>
      </c>
      <c r="I147" s="311" t="str">
        <f aca="false">VLOOKUP($A147,'Institution Evaluation'!$A$56:$K$346,9,0)&amp;""</f>
        <v>Standard Importance</v>
      </c>
      <c r="J147" s="311" t="str">
        <f aca="false">VLOOKUP($A147,'Institution Evaluation'!$A$56:$K$346,10,0)&amp;""</f>
        <v/>
      </c>
      <c r="K147" s="311" t="n">
        <f aca="false">IF($I147="Critical Importance",20,IF($I147="Minor Importance",5,10))</f>
        <v>10</v>
      </c>
      <c r="L147" s="283" t="str">
        <f aca="false">IF(OR($E147="Not Scored",$F147=""),"N/A",IF(AND($D147='Auto Responses'!$J$27,$H147=""),"N/A",IF(AND($D147='Auto Responses'!$J$27,$H147='Auto Responses'!$J$7),1,IF(AND($D147='Auto Responses'!$J$27,$H147='Auto Responses'!$J$8),0,IF(OR($F147=$G147,$H147='Auto Responses'!$J$7),1,0)))))</f>
        <v>N/A</v>
      </c>
      <c r="M147" s="311" t="str">
        <f aca="false">VLOOKUP($A147,'Institution Evaluation'!$A$56:$K$346,10,0)&amp;""</f>
        <v/>
      </c>
      <c r="N147" s="311" t="n">
        <f aca="false">IF($J147="Critical Importance",1,IF(AND($J147="",$I147="Critical Importance"),1,0))</f>
        <v>0</v>
      </c>
      <c r="O147" s="283" t="str">
        <f aca="false">IF(OR($F$17="No",$E147="Not Scored",$F147=""),"N/A",IF($J147="",$K147,IF($J147="Minor Importance",5,IF($J147="Standard Importance",10,IF($J147="Critical Importance",20,0)))))</f>
        <v>N/A</v>
      </c>
      <c r="P147" s="283" t="str">
        <f aca="false">IF(OR($O147="N/A",$L147="N/A"),"N/A",$O147*$L147)</f>
        <v>N/A</v>
      </c>
      <c r="Q147" s="283" t="n">
        <f aca="false">IF(M147="TRUE",1,0)</f>
        <v>0</v>
      </c>
      <c r="R147" s="283" t="n">
        <f aca="false">R146+Q147</f>
        <v>0</v>
      </c>
      <c r="S147" s="283" t="n">
        <f aca="false">IF(Q147=0,0,R147)</f>
        <v>0</v>
      </c>
      <c r="T147" s="283" t="n">
        <f aca="false">IF(N147=1,1,0)</f>
        <v>0</v>
      </c>
      <c r="U147" s="283" t="n">
        <f aca="false">U146+T147</f>
        <v>45</v>
      </c>
      <c r="V147" s="283" t="n">
        <f aca="false">IF(T147=0,0,U147)</f>
        <v>0</v>
      </c>
    </row>
    <row r="148" customFormat="false" ht="26.85" hidden="false" customHeight="false" outlineLevel="0" collapsed="false">
      <c r="A148" s="311" t="str">
        <f aca="false">Questions!$A148</f>
        <v>DCTR-14</v>
      </c>
      <c r="B148" s="311" t="str">
        <f aca="false">LEFT(A148,4)</f>
        <v>DCTR</v>
      </c>
      <c r="C148" s="311" t="str">
        <f aca="false">VLOOKUP($A148,Questions!$A$3:$L$333,2,0)&amp;""</f>
        <v>Do you require multifactor authentication for all administrative accounts in your environment?</v>
      </c>
      <c r="D148" s="311" t="str">
        <f aca="false">VLOOKUP($A148,Questions!$A$3:$L$333,11,0)&amp;""</f>
        <v/>
      </c>
      <c r="E148" s="311" t="str">
        <f aca="false">VLOOKUP($A148,Questions!$A$3:$L$333,12,0)&amp;""</f>
        <v>Infrastructure</v>
      </c>
      <c r="F148" s="311" t="str">
        <f aca="false">VLOOKUP($A148,'Institution Evaluation'!$A$56:$K$346,3,0)&amp;""</f>
        <v/>
      </c>
      <c r="G148" s="311" t="str">
        <f aca="false">VLOOKUP($A148,'Institution Evaluation'!$A$56:$K$346,7,0)&amp;""</f>
        <v>Yes</v>
      </c>
      <c r="H148" s="311" t="str">
        <f aca="false">VLOOKUP($A148,'Institution Evaluation'!$A$56:$K$346,8,0)&amp;""</f>
        <v/>
      </c>
      <c r="I148" s="311" t="str">
        <f aca="false">VLOOKUP($A148,'Institution Evaluation'!$A$56:$K$346,9,0)&amp;""</f>
        <v>Standard Importance</v>
      </c>
      <c r="J148" s="311" t="str">
        <f aca="false">VLOOKUP($A148,'Institution Evaluation'!$A$56:$K$346,10,0)&amp;""</f>
        <v/>
      </c>
      <c r="K148" s="311" t="n">
        <f aca="false">IF($I148="Critical Importance",20,IF($I148="Minor Importance",5,10))</f>
        <v>10</v>
      </c>
      <c r="L148" s="283" t="str">
        <f aca="false">IF(OR($E148="Not Scored",$F148=""),"N/A",IF(AND($D148='Auto Responses'!$J$27,$H148=""),"N/A",IF(AND($D148='Auto Responses'!$J$27,$H148='Auto Responses'!$J$7),1,IF(AND($D148='Auto Responses'!$J$27,$H148='Auto Responses'!$J$8),0,IF(OR($F148=$G148,$H148='Auto Responses'!$J$7),1,0)))))</f>
        <v>N/A</v>
      </c>
      <c r="M148" s="311" t="str">
        <f aca="false">VLOOKUP($A148,'Institution Evaluation'!$A$56:$K$346,10,0)&amp;""</f>
        <v/>
      </c>
      <c r="N148" s="311" t="n">
        <f aca="false">IF($J148="Critical Importance",1,IF(AND($J148="",$I148="Critical Importance"),1,0))</f>
        <v>0</v>
      </c>
      <c r="O148" s="283" t="str">
        <f aca="false">IF(OR($F$17="No",$E148="Not Scored",$F148=""),"N/A",IF($J148="",$K148,IF($J148="Minor Importance",5,IF($J148="Standard Importance",10,IF($J148="Critical Importance",20,0)))))</f>
        <v>N/A</v>
      </c>
      <c r="P148" s="283" t="str">
        <f aca="false">IF(OR($O148="N/A",$L148="N/A"),"N/A",$O148*$L148)</f>
        <v>N/A</v>
      </c>
      <c r="Q148" s="283" t="n">
        <f aca="false">IF(M148="TRUE",1,0)</f>
        <v>0</v>
      </c>
      <c r="R148" s="283" t="n">
        <f aca="false">R147+Q148</f>
        <v>0</v>
      </c>
      <c r="S148" s="283" t="n">
        <f aca="false">IF(Q148=0,0,R148)</f>
        <v>0</v>
      </c>
      <c r="T148" s="283" t="n">
        <f aca="false">IF(N148=1,1,0)</f>
        <v>0</v>
      </c>
      <c r="U148" s="283" t="n">
        <f aca="false">U147+T148</f>
        <v>45</v>
      </c>
      <c r="V148" s="283" t="n">
        <f aca="false">IF(T148=0,0,U148)</f>
        <v>0</v>
      </c>
    </row>
    <row r="149" customFormat="false" ht="26.85" hidden="false" customHeight="false" outlineLevel="0" collapsed="false">
      <c r="A149" s="311" t="str">
        <f aca="false">Questions!$A149</f>
        <v>DCTR-15</v>
      </c>
      <c r="B149" s="311" t="str">
        <f aca="false">LEFT(A149,4)</f>
        <v>DCTR</v>
      </c>
      <c r="C149" s="311" t="str">
        <f aca="false">VLOOKUP($A149,Questions!$A$3:$L$333,2,0)&amp;""</f>
        <v>Are you using your cloud provider's available hardening tools or pre-hardened images?</v>
      </c>
      <c r="D149" s="311" t="str">
        <f aca="false">VLOOKUP($A149,Questions!$A$3:$L$333,11,0)&amp;""</f>
        <v/>
      </c>
      <c r="E149" s="311" t="str">
        <f aca="false">VLOOKUP($A149,Questions!$A$3:$L$333,12,0)&amp;""</f>
        <v>Infrastructure</v>
      </c>
      <c r="F149" s="311" t="str">
        <f aca="false">VLOOKUP($A149,'Institution Evaluation'!$A$56:$K$346,3,0)&amp;""</f>
        <v/>
      </c>
      <c r="G149" s="311" t="str">
        <f aca="false">VLOOKUP($A149,'Institution Evaluation'!$A$56:$K$346,7,0)&amp;""</f>
        <v>Yes</v>
      </c>
      <c r="H149" s="311" t="str">
        <f aca="false">VLOOKUP($A149,'Institution Evaluation'!$A$56:$K$346,8,0)&amp;""</f>
        <v/>
      </c>
      <c r="I149" s="311" t="str">
        <f aca="false">VLOOKUP($A149,'Institution Evaluation'!$A$56:$K$346,9,0)&amp;""</f>
        <v>Standard Importance</v>
      </c>
      <c r="J149" s="311" t="str">
        <f aca="false">VLOOKUP($A149,'Institution Evaluation'!$A$56:$K$346,10,0)&amp;""</f>
        <v/>
      </c>
      <c r="K149" s="311" t="n">
        <f aca="false">IF($I149="Critical Importance",20,IF($I149="Minor Importance",5,10))</f>
        <v>10</v>
      </c>
      <c r="L149" s="283" t="str">
        <f aca="false">IF(OR($E149="Not Scored",$F149=""),"N/A",IF(AND($D149='Auto Responses'!$J$27,$H149=""),"N/A",IF(AND($D149='Auto Responses'!$J$27,$H149='Auto Responses'!$J$7),1,IF(AND($D149='Auto Responses'!$J$27,$H149='Auto Responses'!$J$8),0,IF(OR($F149=$G149,$H149='Auto Responses'!$J$7),1,0)))))</f>
        <v>N/A</v>
      </c>
      <c r="M149" s="311" t="str">
        <f aca="false">VLOOKUP($A149,'Institution Evaluation'!$A$56:$K$346,10,0)&amp;""</f>
        <v/>
      </c>
      <c r="N149" s="311" t="n">
        <f aca="false">IF($J149="Critical Importance",1,IF(AND($J149="",$I149="Critical Importance"),1,0))</f>
        <v>0</v>
      </c>
      <c r="O149" s="283" t="str">
        <f aca="false">IF(OR($F$17="No",$E149="Not Scored",$F149=""),"N/A",IF($J149="",$K149,IF($J149="Minor Importance",5,IF($J149="Standard Importance",10,IF($J149="Critical Importance",20,0)))))</f>
        <v>N/A</v>
      </c>
      <c r="P149" s="283" t="str">
        <f aca="false">IF(OR($O149="N/A",$L149="N/A"),"N/A",$O149*$L149)</f>
        <v>N/A</v>
      </c>
      <c r="Q149" s="283" t="n">
        <f aca="false">IF(M149="TRUE",1,0)</f>
        <v>0</v>
      </c>
      <c r="R149" s="283" t="n">
        <f aca="false">R148+Q149</f>
        <v>0</v>
      </c>
      <c r="S149" s="283" t="n">
        <f aca="false">IF(Q149=0,0,R149)</f>
        <v>0</v>
      </c>
      <c r="T149" s="283" t="n">
        <f aca="false">IF(N149=1,1,0)</f>
        <v>0</v>
      </c>
      <c r="U149" s="283" t="n">
        <f aca="false">U148+T149</f>
        <v>45</v>
      </c>
      <c r="V149" s="283" t="n">
        <f aca="false">IF(T149=0,0,U149)</f>
        <v>0</v>
      </c>
    </row>
    <row r="150" customFormat="false" ht="26.85" hidden="false" customHeight="false" outlineLevel="0" collapsed="false">
      <c r="A150" s="311" t="str">
        <f aca="false">Questions!$A150</f>
        <v>DCTR-16</v>
      </c>
      <c r="B150" s="311" t="str">
        <f aca="false">LEFT(A150,4)</f>
        <v>DCTR</v>
      </c>
      <c r="C150" s="311" t="str">
        <f aca="false">VLOOKUP($A150,Questions!$A$3:$L$333,2,0)&amp;""</f>
        <v>Does your cloud solution provider have access to your encryption keys?</v>
      </c>
      <c r="D150" s="311" t="str">
        <f aca="false">VLOOKUP($A150,Questions!$A$3:$L$333,11,0)&amp;""</f>
        <v/>
      </c>
      <c r="E150" s="311" t="str">
        <f aca="false">VLOOKUP($A150,Questions!$A$3:$L$333,12,0)&amp;""</f>
        <v>Infrastructure</v>
      </c>
      <c r="F150" s="311" t="str">
        <f aca="false">VLOOKUP($A150,'Institution Evaluation'!$A$56:$K$346,3,0)&amp;""</f>
        <v/>
      </c>
      <c r="G150" s="311" t="str">
        <f aca="false">VLOOKUP($A150,'Institution Evaluation'!$A$56:$K$346,7,0)&amp;""</f>
        <v>No</v>
      </c>
      <c r="H150" s="311" t="str">
        <f aca="false">VLOOKUP($A150,'Institution Evaluation'!$A$56:$K$346,8,0)&amp;""</f>
        <v/>
      </c>
      <c r="I150" s="311" t="str">
        <f aca="false">VLOOKUP($A150,'Institution Evaluation'!$A$56:$K$346,9,0)&amp;""</f>
        <v>Standard Importance</v>
      </c>
      <c r="J150" s="311" t="str">
        <f aca="false">VLOOKUP($A150,'Institution Evaluation'!$A$56:$K$346,10,0)&amp;""</f>
        <v/>
      </c>
      <c r="K150" s="311" t="n">
        <f aca="false">IF($I150="Critical Importance",20,IF($I150="Minor Importance",5,10))</f>
        <v>10</v>
      </c>
      <c r="L150" s="283" t="str">
        <f aca="false">IF(OR($E150="Not Scored",$F150=""),"N/A",IF(AND($D150='Auto Responses'!$J$27,$H150=""),"N/A",IF(AND($D150='Auto Responses'!$J$27,$H150='Auto Responses'!$J$7),1,IF(AND($D150='Auto Responses'!$J$27,$H150='Auto Responses'!$J$8),0,IF(OR($F150=$G150,$H150='Auto Responses'!$J$7),1,0)))))</f>
        <v>N/A</v>
      </c>
      <c r="M150" s="311" t="str">
        <f aca="false">VLOOKUP($A150,'Institution Evaluation'!$A$56:$K$346,10,0)&amp;""</f>
        <v/>
      </c>
      <c r="N150" s="311" t="n">
        <f aca="false">IF($J150="Critical Importance",1,IF(AND($J150="",$I150="Critical Importance"),1,0))</f>
        <v>0</v>
      </c>
      <c r="O150" s="283" t="str">
        <f aca="false">IF(OR($F$17="No",$E150="Not Scored",$F150=""),"N/A",IF($J150="",$K150,IF($J150="Minor Importance",5,IF($J150="Standard Importance",10,IF($J150="Critical Importance",20,0)))))</f>
        <v>N/A</v>
      </c>
      <c r="P150" s="283" t="str">
        <f aca="false">IF(OR($O150="N/A",$L150="N/A"),"N/A",$O150*$L150)</f>
        <v>N/A</v>
      </c>
      <c r="Q150" s="283" t="n">
        <f aca="false">IF(M150="TRUE",1,0)</f>
        <v>0</v>
      </c>
      <c r="R150" s="283" t="n">
        <f aca="false">R149+Q150</f>
        <v>0</v>
      </c>
      <c r="S150" s="283" t="n">
        <f aca="false">IF(Q150=0,0,R150)</f>
        <v>0</v>
      </c>
      <c r="T150" s="283" t="n">
        <f aca="false">IF(N150=1,1,0)</f>
        <v>0</v>
      </c>
      <c r="U150" s="283" t="n">
        <f aca="false">U149+T150</f>
        <v>45</v>
      </c>
      <c r="V150" s="283" t="n">
        <f aca="false">IF(T150=0,0,U150)</f>
        <v>0</v>
      </c>
    </row>
    <row r="151" customFormat="false" ht="26.85" hidden="false" customHeight="false" outlineLevel="0" collapsed="false">
      <c r="A151" s="311" t="str">
        <f aca="false">Questions!$A151</f>
        <v>FIDP-01</v>
      </c>
      <c r="B151" s="311" t="str">
        <f aca="false">LEFT(A151,4)</f>
        <v>FIDP</v>
      </c>
      <c r="C151" s="311" t="str">
        <f aca="false">VLOOKUP($A151,Questions!$A$3:$L$333,2,0)&amp;""</f>
        <v>Are you utilizing a stateful packet inspection (SPI) firewall?*</v>
      </c>
      <c r="D151" s="311" t="str">
        <f aca="false">VLOOKUP($A151,Questions!$A$3:$L$333,11,0)&amp;""</f>
        <v/>
      </c>
      <c r="E151" s="311" t="str">
        <f aca="false">VLOOKUP($A151,Questions!$A$3:$L$333,12,0)&amp;""</f>
        <v>Infrastructure</v>
      </c>
      <c r="F151" s="311" t="str">
        <f aca="false">VLOOKUP($A151,'Institution Evaluation'!$A$56:$K$346,3,0)&amp;""</f>
        <v/>
      </c>
      <c r="G151" s="311" t="str">
        <f aca="false">VLOOKUP($A151,'Institution Evaluation'!$A$56:$K$346,7,0)&amp;""</f>
        <v>Yes</v>
      </c>
      <c r="H151" s="311" t="str">
        <f aca="false">VLOOKUP($A151,'Institution Evaluation'!$A$56:$K$346,8,0)&amp;""</f>
        <v/>
      </c>
      <c r="I151" s="311" t="str">
        <f aca="false">VLOOKUP($A151,'Institution Evaluation'!$A$56:$K$346,9,0)&amp;""</f>
        <v>Critical Importance</v>
      </c>
      <c r="J151" s="311" t="str">
        <f aca="false">VLOOKUP($A151,'Institution Evaluation'!$A$56:$K$346,10,0)&amp;""</f>
        <v/>
      </c>
      <c r="K151" s="311" t="n">
        <f aca="false">IF($I151="Critical Importance",20,IF($I151="Minor Importance",5,10))</f>
        <v>20</v>
      </c>
      <c r="L151" s="283" t="n">
        <f aca="false">IF($E151="Not Scored", "N/A",IF(AND($D151='Auto Responses'!$J$27,$H151=""),"N/A",IF(AND($D151='Auto Responses'!$J$27,$H151='Auto Responses'!$J$7),1,IF(AND($D151='Auto Responses'!$J$27,$H151='Auto Responses'!$J$8),0,IF(OR($F151=$G151,$H151='Auto Responses'!$J$7),1,0)))))</f>
        <v>0</v>
      </c>
      <c r="M151" s="311" t="str">
        <f aca="false">VLOOKUP($A151,'Institution Evaluation'!$A$56:$K$346,10,0)&amp;""</f>
        <v/>
      </c>
      <c r="N151" s="311" t="n">
        <f aca="false">IF($J151="Critical Importance",1,IF(AND($J151="",$I151="Critical Importance"),1,0))</f>
        <v>1</v>
      </c>
      <c r="O151" s="283" t="str">
        <f aca="false">IF(OR($F$17="No",$E151="Not Scored"),"N/A",IF($J151="",$K151,IF($J151="Minor Importance",5,IF($J151="Standard Importance",10,IF($J151="Critical Importance",20,0)))))</f>
        <v>N/A</v>
      </c>
      <c r="P151" s="283" t="str">
        <f aca="false">IF(OR($O151="N/A",$L151="N/A"),"N/A",$O151*$L151)</f>
        <v>N/A</v>
      </c>
      <c r="Q151" s="283" t="n">
        <f aca="false">IF(M151="TRUE",1,0)</f>
        <v>0</v>
      </c>
      <c r="R151" s="283" t="n">
        <f aca="false">R150+Q151</f>
        <v>0</v>
      </c>
      <c r="S151" s="283" t="n">
        <f aca="false">IF(Q151=0,0,R151)</f>
        <v>0</v>
      </c>
      <c r="T151" s="283" t="n">
        <f aca="false">IF(N151=1,1,0)</f>
        <v>1</v>
      </c>
      <c r="U151" s="283" t="n">
        <f aca="false">U150+T151</f>
        <v>46</v>
      </c>
      <c r="V151" s="283" t="n">
        <f aca="false">IF(T151=0,0,U151)</f>
        <v>46</v>
      </c>
    </row>
    <row r="152" customFormat="false" ht="26.85" hidden="false" customHeight="false" outlineLevel="0" collapsed="false">
      <c r="A152" s="311" t="str">
        <f aca="false">Questions!$A152</f>
        <v>FIDP-02</v>
      </c>
      <c r="B152" s="311" t="str">
        <f aca="false">LEFT(A152,4)</f>
        <v>FIDP</v>
      </c>
      <c r="C152" s="311" t="str">
        <f aca="false">VLOOKUP($A152,Questions!$A$3:$L$333,2,0)&amp;""</f>
        <v>Do you have a documented policy for firewall change requests?*</v>
      </c>
      <c r="D152" s="311" t="str">
        <f aca="false">VLOOKUP($A152,Questions!$A$3:$L$333,11,0)&amp;""</f>
        <v/>
      </c>
      <c r="E152" s="311" t="str">
        <f aca="false">VLOOKUP($A152,Questions!$A$3:$L$333,12,0)&amp;""</f>
        <v>Infrastructure</v>
      </c>
      <c r="F152" s="311" t="str">
        <f aca="false">VLOOKUP($A152,'Institution Evaluation'!$A$56:$K$346,3,0)&amp;""</f>
        <v/>
      </c>
      <c r="G152" s="311" t="str">
        <f aca="false">VLOOKUP($A152,'Institution Evaluation'!$A$56:$K$346,7,0)&amp;""</f>
        <v>Yes</v>
      </c>
      <c r="H152" s="311" t="str">
        <f aca="false">VLOOKUP($A152,'Institution Evaluation'!$A$56:$K$346,8,0)&amp;""</f>
        <v/>
      </c>
      <c r="I152" s="311" t="str">
        <f aca="false">VLOOKUP($A152,'Institution Evaluation'!$A$56:$K$346,9,0)&amp;""</f>
        <v>Critical Importance</v>
      </c>
      <c r="J152" s="311" t="str">
        <f aca="false">VLOOKUP($A152,'Institution Evaluation'!$A$56:$K$346,10,0)&amp;""</f>
        <v/>
      </c>
      <c r="K152" s="311" t="n">
        <f aca="false">IF($I152="Critical Importance",20,IF($I152="Minor Importance",5,10))</f>
        <v>20</v>
      </c>
      <c r="L152" s="283" t="n">
        <f aca="false">IF($E152="Not Scored", "N/A",IF(AND($D152='Auto Responses'!$J$27,$H152=""),"N/A",IF(AND($D152='Auto Responses'!$J$27,$H152='Auto Responses'!$J$7),1,IF(AND($D152='Auto Responses'!$J$27,$H152='Auto Responses'!$J$8),0,IF(OR($F152=$G152,$H152='Auto Responses'!$J$7),1,0)))))</f>
        <v>0</v>
      </c>
      <c r="M152" s="311" t="str">
        <f aca="false">VLOOKUP($A152,'Institution Evaluation'!$A$56:$K$346,10,0)&amp;""</f>
        <v/>
      </c>
      <c r="N152" s="311" t="n">
        <f aca="false">IF($J152="Critical Importance",1,IF(AND($J152="",$I152="Critical Importance"),1,0))</f>
        <v>1</v>
      </c>
      <c r="O152" s="283" t="str">
        <f aca="false">IF(OR($F$17="No",$E152="Not Scored"),"N/A",IF($J152="",$K152,IF($J152="Minor Importance",5,IF($J152="Standard Importance",10,IF($J152="Critical Importance",20,0)))))</f>
        <v>N/A</v>
      </c>
      <c r="P152" s="283" t="str">
        <f aca="false">IF(OR($O152="N/A",$L152="N/A"),"N/A",$O152*$L152)</f>
        <v>N/A</v>
      </c>
      <c r="Q152" s="283" t="n">
        <f aca="false">IF(M152="TRUE",1,0)</f>
        <v>0</v>
      </c>
      <c r="R152" s="283" t="n">
        <f aca="false">R151+Q152</f>
        <v>0</v>
      </c>
      <c r="S152" s="283" t="n">
        <f aca="false">IF(Q152=0,0,R152)</f>
        <v>0</v>
      </c>
      <c r="T152" s="283" t="n">
        <f aca="false">IF(N152=1,1,0)</f>
        <v>1</v>
      </c>
      <c r="U152" s="283" t="n">
        <f aca="false">U151+T152</f>
        <v>47</v>
      </c>
      <c r="V152" s="283" t="n">
        <f aca="false">IF(T152=0,0,U152)</f>
        <v>47</v>
      </c>
    </row>
    <row r="153" customFormat="false" ht="26.85" hidden="false" customHeight="false" outlineLevel="0" collapsed="false">
      <c r="A153" s="311" t="str">
        <f aca="false">Questions!$A153</f>
        <v>FIDP-03</v>
      </c>
      <c r="B153" s="311" t="str">
        <f aca="false">LEFT(A153,4)</f>
        <v>FIDP</v>
      </c>
      <c r="C153" s="311" t="str">
        <f aca="false">VLOOKUP($A153,Questions!$A$3:$L$333,2,0)&amp;""</f>
        <v>Have you implemented an intrusion detection system (network-based)?*</v>
      </c>
      <c r="D153" s="311" t="str">
        <f aca="false">VLOOKUP($A153,Questions!$A$3:$L$333,11,0)&amp;""</f>
        <v/>
      </c>
      <c r="E153" s="311" t="str">
        <f aca="false">VLOOKUP($A153,Questions!$A$3:$L$333,12,0)&amp;""</f>
        <v>Infrastructure</v>
      </c>
      <c r="F153" s="311" t="str">
        <f aca="false">VLOOKUP($A153,'Institution Evaluation'!$A$56:$K$346,3,0)&amp;""</f>
        <v/>
      </c>
      <c r="G153" s="311" t="str">
        <f aca="false">VLOOKUP($A153,'Institution Evaluation'!$A$56:$K$346,7,0)&amp;""</f>
        <v>Yes</v>
      </c>
      <c r="H153" s="311" t="str">
        <f aca="false">VLOOKUP($A153,'Institution Evaluation'!$A$56:$K$346,8,0)&amp;""</f>
        <v/>
      </c>
      <c r="I153" s="311" t="str">
        <f aca="false">VLOOKUP($A153,'Institution Evaluation'!$A$56:$K$346,9,0)&amp;""</f>
        <v>Critical Importance</v>
      </c>
      <c r="J153" s="311" t="str">
        <f aca="false">VLOOKUP($A153,'Institution Evaluation'!$A$56:$K$346,10,0)&amp;""</f>
        <v/>
      </c>
      <c r="K153" s="311" t="n">
        <f aca="false">IF($I153="Critical Importance",20,IF($I153="Minor Importance",5,10))</f>
        <v>20</v>
      </c>
      <c r="L153" s="283" t="n">
        <f aca="false">IF($E153="Not Scored", "N/A",IF(AND($D153='Auto Responses'!$J$27,$H153=""),"N/A",IF(AND($D153='Auto Responses'!$J$27,$H153='Auto Responses'!$J$7),1,IF(AND($D153='Auto Responses'!$J$27,$H153='Auto Responses'!$J$8),0,IF(OR($F153=$G153,$H153='Auto Responses'!$J$7),1,0)))))</f>
        <v>0</v>
      </c>
      <c r="M153" s="311" t="str">
        <f aca="false">VLOOKUP($A153,'Institution Evaluation'!$A$56:$K$346,10,0)&amp;""</f>
        <v/>
      </c>
      <c r="N153" s="311" t="n">
        <f aca="false">IF($J153="Critical Importance",1,IF(AND($J153="",$I153="Critical Importance"),1,0))</f>
        <v>1</v>
      </c>
      <c r="O153" s="283" t="str">
        <f aca="false">IF(OR($F$17="No",$E153="Not Scored"),"N/A",IF($J153="",$K153,IF($J153="Minor Importance",5,IF($J153="Standard Importance",10,IF($J153="Critical Importance",20,0)))))</f>
        <v>N/A</v>
      </c>
      <c r="P153" s="283" t="str">
        <f aca="false">IF(OR($O153="N/A",$L153="N/A"),"N/A",$O153*$L153)</f>
        <v>N/A</v>
      </c>
      <c r="Q153" s="283" t="n">
        <f aca="false">IF(M153="TRUE",1,0)</f>
        <v>0</v>
      </c>
      <c r="R153" s="283" t="n">
        <f aca="false">R152+Q153</f>
        <v>0</v>
      </c>
      <c r="S153" s="283" t="n">
        <f aca="false">IF(Q153=0,0,R153)</f>
        <v>0</v>
      </c>
      <c r="T153" s="283" t="n">
        <f aca="false">IF(N153=1,1,0)</f>
        <v>1</v>
      </c>
      <c r="U153" s="283" t="n">
        <f aca="false">U152+T153</f>
        <v>48</v>
      </c>
      <c r="V153" s="283" t="n">
        <f aca="false">IF(T153=0,0,U153)</f>
        <v>48</v>
      </c>
    </row>
    <row r="154" customFormat="false" ht="26.85" hidden="false" customHeight="false" outlineLevel="0" collapsed="false">
      <c r="A154" s="311" t="str">
        <f aca="false">Questions!$A154</f>
        <v>FIDP-04</v>
      </c>
      <c r="B154" s="311" t="str">
        <f aca="false">LEFT(A154,4)</f>
        <v>FIDP</v>
      </c>
      <c r="C154" s="311" t="str">
        <f aca="false">VLOOKUP($A154,Questions!$A$3:$L$333,2,0)&amp;""</f>
        <v>Do you employ host-based intrusion detection?*</v>
      </c>
      <c r="D154" s="311" t="str">
        <f aca="false">VLOOKUP($A154,Questions!$A$3:$L$333,11,0)&amp;""</f>
        <v/>
      </c>
      <c r="E154" s="311" t="str">
        <f aca="false">VLOOKUP($A154,Questions!$A$3:$L$333,12,0)&amp;""</f>
        <v>Infrastructure</v>
      </c>
      <c r="F154" s="311" t="str">
        <f aca="false">VLOOKUP($A154,'Institution Evaluation'!$A$56:$K$346,3,0)&amp;""</f>
        <v/>
      </c>
      <c r="G154" s="311" t="str">
        <f aca="false">VLOOKUP($A154,'Institution Evaluation'!$A$56:$K$346,7,0)&amp;""</f>
        <v>Yes</v>
      </c>
      <c r="H154" s="311" t="str">
        <f aca="false">VLOOKUP($A154,'Institution Evaluation'!$A$56:$K$346,8,0)&amp;""</f>
        <v/>
      </c>
      <c r="I154" s="311" t="str">
        <f aca="false">VLOOKUP($A154,'Institution Evaluation'!$A$56:$K$346,9,0)&amp;""</f>
        <v>Critical Importance</v>
      </c>
      <c r="J154" s="311" t="str">
        <f aca="false">VLOOKUP($A154,'Institution Evaluation'!$A$56:$K$346,10,0)&amp;""</f>
        <v/>
      </c>
      <c r="K154" s="311" t="n">
        <f aca="false">IF($I154="Critical Importance",20,IF($I154="Minor Importance",5,10))</f>
        <v>20</v>
      </c>
      <c r="L154" s="283" t="n">
        <f aca="false">IF($E154="Not Scored", "N/A",IF(AND($D154='Auto Responses'!$J$27,$H154=""),"N/A",IF(AND($D154='Auto Responses'!$J$27,$H154='Auto Responses'!$J$7),1,IF(AND($D154='Auto Responses'!$J$27,$H154='Auto Responses'!$J$8),0,IF(OR($F154=$G154,$H154='Auto Responses'!$J$7),1,0)))))</f>
        <v>0</v>
      </c>
      <c r="M154" s="311" t="str">
        <f aca="false">VLOOKUP($A154,'Institution Evaluation'!$A$56:$K$346,10,0)&amp;""</f>
        <v/>
      </c>
      <c r="N154" s="311" t="n">
        <f aca="false">IF($J154="Critical Importance",1,IF(AND($J154="",$I154="Critical Importance"),1,0))</f>
        <v>1</v>
      </c>
      <c r="O154" s="283" t="str">
        <f aca="false">IF(OR($F$17="No",$E154="Not Scored",$F154="N/A"),"N/A",IF($J154="",$K154,IF($J154="Minor Importance",5,IF($J154="Standard Importance",10,IF($J154="Critical Importance",20,0)))))</f>
        <v>N/A</v>
      </c>
      <c r="P154" s="283" t="str">
        <f aca="false">IF(OR($O154="N/A",$L154="N/A"),"N/A",$O154*$L154)</f>
        <v>N/A</v>
      </c>
      <c r="Q154" s="283" t="n">
        <f aca="false">IF(M154="TRUE",1,0)</f>
        <v>0</v>
      </c>
      <c r="R154" s="283" t="n">
        <f aca="false">R153+Q154</f>
        <v>0</v>
      </c>
      <c r="S154" s="283" t="n">
        <f aca="false">IF(Q154=0,0,R154)</f>
        <v>0</v>
      </c>
      <c r="T154" s="283" t="n">
        <f aca="false">IF(N154=1,1,0)</f>
        <v>1</v>
      </c>
      <c r="U154" s="283" t="n">
        <f aca="false">U153+T154</f>
        <v>49</v>
      </c>
      <c r="V154" s="283" t="n">
        <f aca="false">IF(T154=0,0,U154)</f>
        <v>49</v>
      </c>
    </row>
    <row r="155" customFormat="false" ht="26.85" hidden="false" customHeight="false" outlineLevel="0" collapsed="false">
      <c r="A155" s="311" t="str">
        <f aca="false">Questions!$A155</f>
        <v>FIDP-05</v>
      </c>
      <c r="B155" s="311" t="str">
        <f aca="false">LEFT(A155,4)</f>
        <v>FIDP</v>
      </c>
      <c r="C155" s="311" t="str">
        <f aca="false">VLOOKUP($A155,Questions!$A$3:$L$333,2,0)&amp;""</f>
        <v>Are audit logs available for all changes to the network, firewall, IDS, and IPS systems?*</v>
      </c>
      <c r="D155" s="311" t="str">
        <f aca="false">VLOOKUP($A155,Questions!$A$3:$L$333,11,0)&amp;""</f>
        <v/>
      </c>
      <c r="E155" s="311" t="str">
        <f aca="false">VLOOKUP($A155,Questions!$A$3:$L$333,12,0)&amp;""</f>
        <v>Infrastructure</v>
      </c>
      <c r="F155" s="311" t="str">
        <f aca="false">VLOOKUP($A155,'Institution Evaluation'!$A$56:$K$346,3,0)&amp;""</f>
        <v/>
      </c>
      <c r="G155" s="311" t="str">
        <f aca="false">VLOOKUP($A155,'Institution Evaluation'!$A$56:$K$346,7,0)&amp;""</f>
        <v>Yes</v>
      </c>
      <c r="H155" s="311" t="str">
        <f aca="false">VLOOKUP($A155,'Institution Evaluation'!$A$56:$K$346,8,0)&amp;""</f>
        <v/>
      </c>
      <c r="I155" s="311" t="str">
        <f aca="false">VLOOKUP($A155,'Institution Evaluation'!$A$56:$K$346,9,0)&amp;""</f>
        <v>Critical Importance</v>
      </c>
      <c r="J155" s="311" t="str">
        <f aca="false">VLOOKUP($A155,'Institution Evaluation'!$A$56:$K$346,10,0)&amp;""</f>
        <v/>
      </c>
      <c r="K155" s="311" t="n">
        <f aca="false">IF($I155="Critical Importance",20,IF($I155="Minor Importance",5,10))</f>
        <v>20</v>
      </c>
      <c r="L155" s="283" t="n">
        <f aca="false">IF($E155="Not Scored", "N/A",IF(AND($D155='Auto Responses'!$J$27,$H155=""),"N/A",IF(AND($D155='Auto Responses'!$J$27,$H155='Auto Responses'!$J$7),1,IF(AND($D155='Auto Responses'!$J$27,$H155='Auto Responses'!$J$8),0,IF(OR($F155=$G155,$H155='Auto Responses'!$J$7),1,0)))))</f>
        <v>0</v>
      </c>
      <c r="M155" s="311" t="str">
        <f aca="false">VLOOKUP($A155,'Institution Evaluation'!$A$56:$K$346,10,0)&amp;""</f>
        <v/>
      </c>
      <c r="N155" s="311" t="n">
        <f aca="false">IF($J155="Critical Importance",1,IF(AND($J155="",$I155="Critical Importance"),1,0))</f>
        <v>1</v>
      </c>
      <c r="O155" s="283" t="str">
        <f aca="false">IF(OR($F$17="No",$E155="Not Scored"),"N/A",IF($J155="",$K155,IF($J155="Minor Importance",5,IF($J155="Standard Importance",10,IF($J155="Critical Importance",20,0)))))</f>
        <v>N/A</v>
      </c>
      <c r="P155" s="283" t="str">
        <f aca="false">IF(OR($O155="N/A",$L155="N/A"),"N/A",$O155*$L155)</f>
        <v>N/A</v>
      </c>
      <c r="Q155" s="283" t="n">
        <f aca="false">IF(M155="TRUE",1,0)</f>
        <v>0</v>
      </c>
      <c r="R155" s="283" t="n">
        <f aca="false">R154+Q155</f>
        <v>0</v>
      </c>
      <c r="S155" s="283" t="n">
        <f aca="false">IF(Q155=0,0,R155)</f>
        <v>0</v>
      </c>
      <c r="T155" s="283" t="n">
        <f aca="false">IF(N155=1,1,0)</f>
        <v>1</v>
      </c>
      <c r="U155" s="283" t="n">
        <f aca="false">U154+T155</f>
        <v>50</v>
      </c>
      <c r="V155" s="283" t="n">
        <f aca="false">IF(T155=0,0,U155)</f>
        <v>50</v>
      </c>
    </row>
    <row r="156" customFormat="false" ht="39.55" hidden="false" customHeight="false" outlineLevel="0" collapsed="false">
      <c r="A156" s="311" t="str">
        <f aca="false">Questions!$A156</f>
        <v>FIDP-06</v>
      </c>
      <c r="B156" s="311" t="str">
        <f aca="false">LEFT(A156,4)</f>
        <v>FIDP</v>
      </c>
      <c r="C156" s="311" t="str">
        <f aca="false">VLOOKUP($A156,Questions!$A$3:$L$333,2,0)&amp;""</f>
        <v>Is authority for firewall change approval documented? Please list approver names or titles in Additional Info.</v>
      </c>
      <c r="D156" s="311" t="str">
        <f aca="false">VLOOKUP($A156,Questions!$A$3:$L$333,11,0)&amp;""</f>
        <v/>
      </c>
      <c r="E156" s="311" t="str">
        <f aca="false">VLOOKUP($A156,Questions!$A$3:$L$333,12,0)&amp;""</f>
        <v>Infrastructure</v>
      </c>
      <c r="F156" s="311" t="str">
        <f aca="false">VLOOKUP($A156,'Institution Evaluation'!$A$56:$K$346,3,0)&amp;""</f>
        <v/>
      </c>
      <c r="G156" s="311" t="str">
        <f aca="false">VLOOKUP($A156,'Institution Evaluation'!$A$56:$K$346,7,0)&amp;""</f>
        <v>Yes</v>
      </c>
      <c r="H156" s="311" t="str">
        <f aca="false">VLOOKUP($A156,'Institution Evaluation'!$A$56:$K$346,8,0)&amp;""</f>
        <v/>
      </c>
      <c r="I156" s="311" t="str">
        <f aca="false">VLOOKUP($A156,'Institution Evaluation'!$A$56:$K$346,9,0)&amp;""</f>
        <v>Standard Importance</v>
      </c>
      <c r="J156" s="311" t="str">
        <f aca="false">VLOOKUP($A156,'Institution Evaluation'!$A$56:$K$346,10,0)&amp;""</f>
        <v/>
      </c>
      <c r="K156" s="311" t="n">
        <f aca="false">IF($I156="Critical Importance",20,IF($I156="Minor Importance",5,10))</f>
        <v>10</v>
      </c>
      <c r="L156" s="283" t="n">
        <f aca="false">IF($E156="Not Scored", "N/A",IF(AND($D156='Auto Responses'!$J$27,$H156=""),"N/A",IF(AND($D156='Auto Responses'!$J$27,$H156='Auto Responses'!$J$7),1,IF(AND($D156='Auto Responses'!$J$27,$H156='Auto Responses'!$J$8),0,IF(OR($F156=$G156,$H156='Auto Responses'!$J$7),1,0)))))</f>
        <v>0</v>
      </c>
      <c r="M156" s="311" t="str">
        <f aca="false">VLOOKUP($A156,'Institution Evaluation'!$A$56:$K$346,10,0)&amp;""</f>
        <v/>
      </c>
      <c r="N156" s="311" t="n">
        <f aca="false">IF($J156="Critical Importance",1,IF(AND($J156="",$I156="Critical Importance"),1,0))</f>
        <v>0</v>
      </c>
      <c r="O156" s="283" t="str">
        <f aca="false">IF(OR($F$17="No",$E156="Not Scored"),"N/A",IF($J156="",$K156,IF($J156="Minor Importance",5,IF($J156="Standard Importance",10,IF($J156="Critical Importance",20,0)))))</f>
        <v>N/A</v>
      </c>
      <c r="P156" s="283" t="str">
        <f aca="false">IF(OR($O156="N/A",$L156="N/A"),"N/A",$O156*$L156)</f>
        <v>N/A</v>
      </c>
      <c r="Q156" s="283" t="n">
        <f aca="false">IF(M156="TRUE",1,0)</f>
        <v>0</v>
      </c>
      <c r="R156" s="283" t="n">
        <f aca="false">R155+Q156</f>
        <v>0</v>
      </c>
      <c r="S156" s="283" t="n">
        <f aca="false">IF(Q156=0,0,R156)</f>
        <v>0</v>
      </c>
      <c r="T156" s="283" t="n">
        <f aca="false">IF(N156=1,1,0)</f>
        <v>0</v>
      </c>
      <c r="U156" s="283" t="n">
        <f aca="false">U155+T156</f>
        <v>50</v>
      </c>
      <c r="V156" s="283" t="n">
        <f aca="false">IF(T156=0,0,U156)</f>
        <v>0</v>
      </c>
    </row>
    <row r="157" customFormat="false" ht="26.85" hidden="false" customHeight="false" outlineLevel="0" collapsed="false">
      <c r="A157" s="311" t="str">
        <f aca="false">Questions!$A157</f>
        <v>FIDP-07</v>
      </c>
      <c r="B157" s="311" t="str">
        <f aca="false">LEFT(A157,4)</f>
        <v>FIDP</v>
      </c>
      <c r="C157" s="311" t="str">
        <f aca="false">VLOOKUP($A157,Questions!$A$3:$L$333,2,0)&amp;""</f>
        <v>Have you implemented an intrusion prevention system (network-based)?</v>
      </c>
      <c r="D157" s="311" t="str">
        <f aca="false">VLOOKUP($A157,Questions!$A$3:$L$333,11,0)&amp;""</f>
        <v/>
      </c>
      <c r="E157" s="311" t="str">
        <f aca="false">VLOOKUP($A157,Questions!$A$3:$L$333,12,0)&amp;""</f>
        <v>Infrastructure</v>
      </c>
      <c r="F157" s="311" t="str">
        <f aca="false">VLOOKUP($A157,'Institution Evaluation'!$A$56:$K$346,3,0)&amp;""</f>
        <v/>
      </c>
      <c r="G157" s="311" t="str">
        <f aca="false">VLOOKUP($A157,'Institution Evaluation'!$A$56:$K$346,7,0)&amp;""</f>
        <v>Yes</v>
      </c>
      <c r="H157" s="311" t="str">
        <f aca="false">VLOOKUP($A157,'Institution Evaluation'!$A$56:$K$346,8,0)&amp;""</f>
        <v/>
      </c>
      <c r="I157" s="311" t="str">
        <f aca="false">VLOOKUP($A157,'Institution Evaluation'!$A$56:$K$346,9,0)&amp;""</f>
        <v>Standard Importance</v>
      </c>
      <c r="J157" s="311" t="str">
        <f aca="false">VLOOKUP($A157,'Institution Evaluation'!$A$56:$K$346,10,0)&amp;""</f>
        <v/>
      </c>
      <c r="K157" s="311" t="n">
        <f aca="false">IF($I157="Critical Importance",20,IF($I157="Minor Importance",5,10))</f>
        <v>10</v>
      </c>
      <c r="L157" s="283" t="n">
        <f aca="false">IF($E157="Not Scored", "N/A",IF(AND($D157='Auto Responses'!$J$27,$H157=""),"N/A",IF(AND($D157='Auto Responses'!$J$27,$H157='Auto Responses'!$J$7),1,IF(AND($D157='Auto Responses'!$J$27,$H157='Auto Responses'!$J$8),0,IF(OR($F157=$G157,$H157='Auto Responses'!$J$7),1,0)))))</f>
        <v>0</v>
      </c>
      <c r="M157" s="311" t="str">
        <f aca="false">VLOOKUP($A157,'Institution Evaluation'!$A$56:$K$346,10,0)&amp;""</f>
        <v/>
      </c>
      <c r="N157" s="311" t="n">
        <f aca="false">IF($J157="Critical Importance",1,IF(AND($J157="",$I157="Critical Importance"),1,0))</f>
        <v>0</v>
      </c>
      <c r="O157" s="283" t="str">
        <f aca="false">IF(OR($F$17="No",$E157="Not Scored"),"N/A",IF($J157="",$K157,IF($J157="Minor Importance",5,IF($J157="Standard Importance",10,IF($J157="Critical Importance",20,0)))))</f>
        <v>N/A</v>
      </c>
      <c r="P157" s="283" t="str">
        <f aca="false">IF(OR($O157="N/A",$L157="N/A"),"N/A",$O157*$L157)</f>
        <v>N/A</v>
      </c>
      <c r="Q157" s="283" t="n">
        <f aca="false">IF(M157="TRUE",1,0)</f>
        <v>0</v>
      </c>
      <c r="R157" s="283" t="n">
        <f aca="false">R156+Q157</f>
        <v>0</v>
      </c>
      <c r="S157" s="283" t="n">
        <f aca="false">IF(Q157=0,0,R157)</f>
        <v>0</v>
      </c>
      <c r="T157" s="283" t="n">
        <f aca="false">IF(N157=1,1,0)</f>
        <v>0</v>
      </c>
      <c r="U157" s="283" t="n">
        <f aca="false">U156+T157</f>
        <v>50</v>
      </c>
      <c r="V157" s="283" t="n">
        <f aca="false">IF(T157=0,0,U157)</f>
        <v>0</v>
      </c>
    </row>
    <row r="158" customFormat="false" ht="26.85" hidden="false" customHeight="false" outlineLevel="0" collapsed="false">
      <c r="A158" s="311" t="str">
        <f aca="false">Questions!$A158</f>
        <v>FIDP-08</v>
      </c>
      <c r="B158" s="311" t="str">
        <f aca="false">LEFT(A158,4)</f>
        <v>FIDP</v>
      </c>
      <c r="C158" s="311" t="str">
        <f aca="false">VLOOKUP($A158,Questions!$A$3:$L$333,2,0)&amp;""</f>
        <v>Do you employ host-based intrusion prevention?</v>
      </c>
      <c r="D158" s="311" t="str">
        <f aca="false">VLOOKUP($A158,Questions!$A$3:$L$333,11,0)&amp;""</f>
        <v/>
      </c>
      <c r="E158" s="311" t="str">
        <f aca="false">VLOOKUP($A158,Questions!$A$3:$L$333,12,0)&amp;""</f>
        <v>Infrastructure</v>
      </c>
      <c r="F158" s="311" t="str">
        <f aca="false">VLOOKUP($A158,'Institution Evaluation'!$A$56:$K$346,3,0)&amp;""</f>
        <v/>
      </c>
      <c r="G158" s="311" t="str">
        <f aca="false">VLOOKUP($A158,'Institution Evaluation'!$A$56:$K$346,7,0)&amp;""</f>
        <v>Yes</v>
      </c>
      <c r="H158" s="311" t="str">
        <f aca="false">VLOOKUP($A158,'Institution Evaluation'!$A$56:$K$346,8,0)&amp;""</f>
        <v/>
      </c>
      <c r="I158" s="311" t="str">
        <f aca="false">VLOOKUP($A158,'Institution Evaluation'!$A$56:$K$346,9,0)&amp;""</f>
        <v>Standard Importance</v>
      </c>
      <c r="J158" s="311" t="str">
        <f aca="false">VLOOKUP($A158,'Institution Evaluation'!$A$56:$K$346,10,0)&amp;""</f>
        <v/>
      </c>
      <c r="K158" s="311" t="n">
        <f aca="false">IF($I158="Critical Importance",20,IF($I158="Minor Importance",5,10))</f>
        <v>10</v>
      </c>
      <c r="L158" s="283" t="n">
        <f aca="false">IF($E158="Not Scored", "N/A",IF(AND($D158='Auto Responses'!$J$27,$H158=""),"N/A",IF(AND($D158='Auto Responses'!$J$27,$H158='Auto Responses'!$J$7),1,IF(AND($D158='Auto Responses'!$J$27,$H158='Auto Responses'!$J$8),0,IF(OR($F158=$G158,$H158='Auto Responses'!$J$7),1,0)))))</f>
        <v>0</v>
      </c>
      <c r="M158" s="311" t="str">
        <f aca="false">VLOOKUP($A158,'Institution Evaluation'!$A$56:$K$346,10,0)&amp;""</f>
        <v/>
      </c>
      <c r="N158" s="311" t="n">
        <f aca="false">IF($J158="Critical Importance",1,IF(AND($J158="",$I158="Critical Importance"),1,0))</f>
        <v>0</v>
      </c>
      <c r="O158" s="283" t="str">
        <f aca="false">IF(OR($F$17="No",$E158="Not Scored",$F158="N/A"),"N/A",IF($J158="",$K158,IF($J158="Minor Importance",5,IF($J158="Standard Importance",10,IF($J158="Critical Importance",20,0)))))</f>
        <v>N/A</v>
      </c>
      <c r="P158" s="283" t="str">
        <f aca="false">IF(OR($O158="N/A",$L158="N/A"),"N/A",$O158*$L158)</f>
        <v>N/A</v>
      </c>
      <c r="Q158" s="283" t="n">
        <f aca="false">IF(M158="TRUE",1,0)</f>
        <v>0</v>
      </c>
      <c r="R158" s="283" t="n">
        <f aca="false">R157+Q158</f>
        <v>0</v>
      </c>
      <c r="S158" s="283" t="n">
        <f aca="false">IF(Q158=0,0,R158)</f>
        <v>0</v>
      </c>
      <c r="T158" s="283" t="n">
        <f aca="false">IF(N158=1,1,0)</f>
        <v>0</v>
      </c>
      <c r="U158" s="283" t="n">
        <f aca="false">U157+T158</f>
        <v>50</v>
      </c>
      <c r="V158" s="283" t="n">
        <f aca="false">IF(T158=0,0,U158)</f>
        <v>0</v>
      </c>
    </row>
    <row r="159" customFormat="false" ht="26.85" hidden="false" customHeight="false" outlineLevel="0" collapsed="false">
      <c r="A159" s="311" t="str">
        <f aca="false">Questions!$A159</f>
        <v>FIDP-09</v>
      </c>
      <c r="B159" s="311" t="str">
        <f aca="false">LEFT(A159,4)</f>
        <v>FIDP</v>
      </c>
      <c r="C159" s="311" t="str">
        <f aca="false">VLOOKUP($A159,Questions!$A$3:$L$333,2,0)&amp;""</f>
        <v>Are you employing any next-generation persistent threat (NGPT) monitoring?</v>
      </c>
      <c r="D159" s="311" t="str">
        <f aca="false">VLOOKUP($A159,Questions!$A$3:$L$333,11,0)&amp;""</f>
        <v/>
      </c>
      <c r="E159" s="311" t="str">
        <f aca="false">VLOOKUP($A159,Questions!$A$3:$L$333,12,0)&amp;""</f>
        <v>Infrastructure</v>
      </c>
      <c r="F159" s="311" t="str">
        <f aca="false">VLOOKUP($A159,'Institution Evaluation'!$A$56:$K$346,3,0)&amp;""</f>
        <v/>
      </c>
      <c r="G159" s="311" t="str">
        <f aca="false">VLOOKUP($A159,'Institution Evaluation'!$A$56:$K$346,7,0)&amp;""</f>
        <v>Yes</v>
      </c>
      <c r="H159" s="311" t="str">
        <f aca="false">VLOOKUP($A159,'Institution Evaluation'!$A$56:$K$346,8,0)&amp;""</f>
        <v/>
      </c>
      <c r="I159" s="311" t="str">
        <f aca="false">VLOOKUP($A159,'Institution Evaluation'!$A$56:$K$346,9,0)&amp;""</f>
        <v>Standard Importance</v>
      </c>
      <c r="J159" s="311" t="str">
        <f aca="false">VLOOKUP($A159,'Institution Evaluation'!$A$56:$K$346,10,0)&amp;""</f>
        <v/>
      </c>
      <c r="K159" s="311" t="n">
        <f aca="false">IF($I159="Critical Importance",20,IF($I159="Minor Importance",5,10))</f>
        <v>10</v>
      </c>
      <c r="L159" s="283" t="n">
        <f aca="false">IF($E159="Not Scored", "N/A",IF(AND($D159='Auto Responses'!$J$27,$H159=""),"N/A",IF(AND($D159='Auto Responses'!$J$27,$H159='Auto Responses'!$J$7),1,IF(AND($D159='Auto Responses'!$J$27,$H159='Auto Responses'!$J$8),0,IF(OR($F159=$G159,$H159='Auto Responses'!$J$7),1,0)))))</f>
        <v>0</v>
      </c>
      <c r="M159" s="311" t="str">
        <f aca="false">VLOOKUP($A159,'Institution Evaluation'!$A$56:$K$346,10,0)&amp;""</f>
        <v/>
      </c>
      <c r="N159" s="311" t="n">
        <f aca="false">IF($J159="Critical Importance",1,IF(AND($J159="",$I159="Critical Importance"),1,0))</f>
        <v>0</v>
      </c>
      <c r="O159" s="283" t="str">
        <f aca="false">IF(OR($F$17="No",$E159="Not Scored"),"N/A",IF($J159="",$K159,IF($J159="Minor Importance",5,IF($J159="Standard Importance",10,IF($J159="Critical Importance",20,0)))))</f>
        <v>N/A</v>
      </c>
      <c r="P159" s="283" t="str">
        <f aca="false">IF(OR($O159="N/A",$L159="N/A"),"N/A",$O159*$L159)</f>
        <v>N/A</v>
      </c>
      <c r="Q159" s="283" t="n">
        <f aca="false">IF(M159="TRUE",1,0)</f>
        <v>0</v>
      </c>
      <c r="R159" s="283" t="n">
        <f aca="false">R158+Q159</f>
        <v>0</v>
      </c>
      <c r="S159" s="283" t="n">
        <f aca="false">IF(Q159=0,0,R159)</f>
        <v>0</v>
      </c>
      <c r="T159" s="283" t="n">
        <f aca="false">IF(N159=1,1,0)</f>
        <v>0</v>
      </c>
      <c r="U159" s="283" t="n">
        <f aca="false">U158+T159</f>
        <v>50</v>
      </c>
      <c r="V159" s="283" t="n">
        <f aca="false">IF(T159=0,0,U159)</f>
        <v>0</v>
      </c>
    </row>
    <row r="160" customFormat="false" ht="26.85" hidden="false" customHeight="false" outlineLevel="0" collapsed="false">
      <c r="A160" s="311" t="str">
        <f aca="false">Questions!$A160</f>
        <v>FIDP-10</v>
      </c>
      <c r="B160" s="311" t="str">
        <f aca="false">LEFT(A160,4)</f>
        <v>FIDP</v>
      </c>
      <c r="C160" s="311" t="str">
        <f aca="false">VLOOKUP($A160,Questions!$A$3:$L$333,2,0)&amp;""</f>
        <v>Is intrusion monitoring performed internally or by a third-party service?</v>
      </c>
      <c r="D160" s="311" t="str">
        <f aca="false">VLOOKUP($A160,Questions!$A$3:$L$333,11,0)&amp;""</f>
        <v/>
      </c>
      <c r="E160" s="311" t="str">
        <f aca="false">VLOOKUP($A160,Questions!$A$3:$L$333,12,0)&amp;""</f>
        <v>Not scored</v>
      </c>
      <c r="F160" s="311" t="str">
        <f aca="false">VLOOKUP($A160,'Institution Evaluation'!$A$56:$K$346,3,0)&amp;""</f>
        <v/>
      </c>
      <c r="G160" s="311" t="str">
        <f aca="false">VLOOKUP($A160,'Institution Evaluation'!$A$56:$K$346,7,0)&amp;""</f>
        <v>Not scored</v>
      </c>
      <c r="H160" s="311" t="str">
        <f aca="false">VLOOKUP($A160,'Institution Evaluation'!$A$56:$K$346,8,0)&amp;""</f>
        <v/>
      </c>
      <c r="I160" s="311" t="str">
        <f aca="false">VLOOKUP($A160,'Institution Evaluation'!$A$56:$K$346,9,0)&amp;""</f>
        <v/>
      </c>
      <c r="J160" s="311" t="str">
        <f aca="false">VLOOKUP($A160,'Institution Evaluation'!$A$56:$K$346,10,0)&amp;""</f>
        <v/>
      </c>
      <c r="K160" s="311" t="n">
        <f aca="false">IF($I160="Critical Importance",20,IF($I160="Minor Importance",5,10))</f>
        <v>10</v>
      </c>
      <c r="L160" s="283" t="str">
        <f aca="false">IF($E160="Not Scored", "N/A",IF(AND($D160='Auto Responses'!$J$27,$H160=""),"N/A",IF(AND($D160='Auto Responses'!$J$27,$H160='Auto Responses'!$J$7),1,IF(AND($D160='Auto Responses'!$J$27,$H160='Auto Responses'!$J$8),0,IF(OR($F160=$G160,$H160='Auto Responses'!$J$7),1,0)))))</f>
        <v>N/A</v>
      </c>
      <c r="M160" s="311" t="str">
        <f aca="false">VLOOKUP($A160,'Institution Evaluation'!$A$56:$K$346,10,0)&amp;""</f>
        <v/>
      </c>
      <c r="N160" s="311" t="n">
        <f aca="false">IF($J160="Critical Importance",1,IF(AND($J160="",$I160="Critical Importance"),1,0))</f>
        <v>0</v>
      </c>
      <c r="O160" s="283" t="str">
        <f aca="false">IF(OR($F$17="No",$E160="Not Scored"),"N/A",IF($J160="",$K160,IF($J160="Minor Importance",5,IF($J160="Standard Importance",10,IF($J160="Critical Importance",20,0)))))</f>
        <v>N/A</v>
      </c>
      <c r="P160" s="283" t="str">
        <f aca="false">IF(OR($O160="N/A",$L160="N/A"),"N/A",$O160*$L160)</f>
        <v>N/A</v>
      </c>
      <c r="Q160" s="283" t="n">
        <f aca="false">IF(M160="TRUE",1,0)</f>
        <v>0</v>
      </c>
      <c r="R160" s="283" t="n">
        <f aca="false">R159+Q160</f>
        <v>0</v>
      </c>
      <c r="S160" s="283" t="n">
        <f aca="false">IF(Q160=0,0,R160)</f>
        <v>0</v>
      </c>
      <c r="T160" s="283" t="n">
        <f aca="false">IF(N160=1,1,0)</f>
        <v>0</v>
      </c>
      <c r="U160" s="283" t="n">
        <f aca="false">U159+T160</f>
        <v>50</v>
      </c>
      <c r="V160" s="283" t="n">
        <f aca="false">IF(T160=0,0,U160)</f>
        <v>0</v>
      </c>
    </row>
    <row r="161" customFormat="false" ht="26.85" hidden="false" customHeight="false" outlineLevel="0" collapsed="false">
      <c r="A161" s="311" t="str">
        <f aca="false">Questions!$A161</f>
        <v>FIDP-11</v>
      </c>
      <c r="B161" s="311" t="str">
        <f aca="false">LEFT(A161,4)</f>
        <v>FIDP</v>
      </c>
      <c r="C161" s="311" t="str">
        <f aca="false">VLOOKUP($A161,Questions!$A$3:$L$333,2,0)&amp;""</f>
        <v>Do you monitor for intrusions on a 24 x 7 x 365 basis?</v>
      </c>
      <c r="D161" s="311" t="str">
        <f aca="false">VLOOKUP($A161,Questions!$A$3:$L$333,11,0)&amp;""</f>
        <v/>
      </c>
      <c r="E161" s="311" t="str">
        <f aca="false">VLOOKUP($A161,Questions!$A$3:$L$333,12,0)&amp;""</f>
        <v>Infrastructure</v>
      </c>
      <c r="F161" s="311" t="str">
        <f aca="false">VLOOKUP($A161,'Institution Evaluation'!$A$56:$K$346,3,0)&amp;""</f>
        <v/>
      </c>
      <c r="G161" s="311" t="str">
        <f aca="false">VLOOKUP($A161,'Institution Evaluation'!$A$56:$K$346,7,0)&amp;""</f>
        <v>Yes</v>
      </c>
      <c r="H161" s="311" t="str">
        <f aca="false">VLOOKUP($A161,'Institution Evaluation'!$A$56:$K$346,8,0)&amp;""</f>
        <v/>
      </c>
      <c r="I161" s="311" t="str">
        <f aca="false">VLOOKUP($A161,'Institution Evaluation'!$A$56:$K$346,9,0)&amp;""</f>
        <v>Minor Importance</v>
      </c>
      <c r="J161" s="311" t="str">
        <f aca="false">VLOOKUP($A161,'Institution Evaluation'!$A$56:$K$346,10,0)&amp;""</f>
        <v/>
      </c>
      <c r="K161" s="311" t="n">
        <f aca="false">IF($I161="Critical Importance",20,IF($I161="Minor Importance",5,10))</f>
        <v>5</v>
      </c>
      <c r="L161" s="283" t="n">
        <f aca="false">IF($E161="Not Scored", "N/A",IF(AND($D161='Auto Responses'!$J$27,$H161=""),"N/A",IF(AND($D161='Auto Responses'!$J$27,$H161='Auto Responses'!$J$7),1,IF(AND($D161='Auto Responses'!$J$27,$H161='Auto Responses'!$J$8),0,IF(OR($F161=$G161,$H161='Auto Responses'!$J$7),1,0)))))</f>
        <v>0</v>
      </c>
      <c r="M161" s="311" t="str">
        <f aca="false">VLOOKUP($A161,'Institution Evaluation'!$A$56:$K$346,10,0)&amp;""</f>
        <v/>
      </c>
      <c r="N161" s="311" t="n">
        <f aca="false">IF($J161="Critical Importance",1,IF(AND($J161="",$I161="Critical Importance"),1,0))</f>
        <v>0</v>
      </c>
      <c r="O161" s="283" t="str">
        <f aca="false">IF(OR($F$17="No",$E161="Not Scored"),"N/A",IF($J161="",$K161,IF($J161="Minor Importance",5,IF($J161="Standard Importance",10,IF($J161="Critical Importance",20,0)))))</f>
        <v>N/A</v>
      </c>
      <c r="P161" s="283" t="str">
        <f aca="false">IF(OR($O161="N/A",$L161="N/A"),"N/A",$O161*$L161)</f>
        <v>N/A</v>
      </c>
      <c r="Q161" s="283" t="n">
        <f aca="false">IF(M161="TRUE",1,0)</f>
        <v>0</v>
      </c>
      <c r="R161" s="283" t="n">
        <f aca="false">R160+Q161</f>
        <v>0</v>
      </c>
      <c r="S161" s="283" t="n">
        <f aca="false">IF(Q161=0,0,R161)</f>
        <v>0</v>
      </c>
      <c r="T161" s="283" t="n">
        <f aca="false">IF(N161=1,1,0)</f>
        <v>0</v>
      </c>
      <c r="U161" s="283" t="n">
        <f aca="false">U160+T161</f>
        <v>50</v>
      </c>
      <c r="V161" s="283" t="n">
        <f aca="false">IF(T161=0,0,U161)</f>
        <v>0</v>
      </c>
    </row>
    <row r="162" customFormat="false" ht="26.85" hidden="false" customHeight="false" outlineLevel="0" collapsed="false">
      <c r="A162" s="311" t="str">
        <f aca="false">Questions!$A162</f>
        <v>PPPR-01</v>
      </c>
      <c r="B162" s="311" t="str">
        <f aca="false">LEFT(A162,4)</f>
        <v>PPPR</v>
      </c>
      <c r="C162" s="311" t="str">
        <f aca="false">VLOOKUP($A162,Questions!$A$3:$L$333,2,0)&amp;""</f>
        <v>Do you have a documented patch management process?*</v>
      </c>
      <c r="D162" s="311" t="str">
        <f aca="false">VLOOKUP($A162,Questions!$A$3:$L$333,11,0)&amp;""</f>
        <v/>
      </c>
      <c r="E162" s="311" t="str">
        <f aca="false">VLOOKUP($A162,Questions!$A$3:$L$333,12,0)&amp;""</f>
        <v>Organization</v>
      </c>
      <c r="F162" s="311" t="str">
        <f aca="false">VLOOKUP($A162,'Institution Evaluation'!$A$56:$K$346,3,0)&amp;""</f>
        <v>Yes</v>
      </c>
      <c r="G162" s="311" t="str">
        <f aca="false">VLOOKUP($A162,'Institution Evaluation'!$A$56:$K$346,7,0)&amp;""</f>
        <v>Yes</v>
      </c>
      <c r="H162" s="311" t="str">
        <f aca="false">VLOOKUP($A162,'Institution Evaluation'!$A$56:$K$346,8,0)&amp;""</f>
        <v/>
      </c>
      <c r="I162" s="311" t="str">
        <f aca="false">VLOOKUP($A162,'Institution Evaluation'!$A$56:$K$346,9,0)&amp;""</f>
        <v>Critical Importance</v>
      </c>
      <c r="J162" s="311" t="str">
        <f aca="false">VLOOKUP($A162,'Institution Evaluation'!$A$56:$K$346,10,0)&amp;""</f>
        <v/>
      </c>
      <c r="K162" s="311" t="n">
        <f aca="false">IF($I162="Critical Importance",20,IF($I162="Minor Importance",5,10))</f>
        <v>20</v>
      </c>
      <c r="L162" s="283" t="n">
        <f aca="false">IF($E162="Not Scored", "N/A",IF(AND($D162='Auto Responses'!$J$27,$H162=""),"N/A",IF(AND($D162='Auto Responses'!$J$27,$H162='Auto Responses'!$J$7),1,IF(AND($D162='Auto Responses'!$J$27,$H162='Auto Responses'!$J$8),0,IF(OR($F162=$G162,$H162='Auto Responses'!$J$7),1,0)))))</f>
        <v>1</v>
      </c>
      <c r="M162" s="311" t="str">
        <f aca="false">VLOOKUP($A162,'Institution Evaluation'!$A$56:$K$346,10,0)&amp;""</f>
        <v/>
      </c>
      <c r="N162" s="311" t="n">
        <f aca="false">IF($J162="Critical Importance",1,IF(AND($J162="",$I162="Critical Importance"),1,0))</f>
        <v>1</v>
      </c>
      <c r="O162" s="283" t="n">
        <f aca="false">IF($E162="Not Scored","N/A",IF($J162="",$K162,IF($J162="Minor Importance",5,IF($J162="Standard Importance",10,IF($J162="Critical Importance",20,0)))))</f>
        <v>20</v>
      </c>
      <c r="P162" s="283" t="n">
        <f aca="false">IF(OR($O162="N/A",$L162="N/A"),"N/A",$O162*$L162)</f>
        <v>20</v>
      </c>
      <c r="Q162" s="283" t="n">
        <f aca="false">IF(M162="TRUE",1,0)</f>
        <v>0</v>
      </c>
      <c r="R162" s="283" t="n">
        <f aca="false">R161+Q162</f>
        <v>0</v>
      </c>
      <c r="S162" s="283" t="n">
        <f aca="false">IF(Q162=0,0,R162)</f>
        <v>0</v>
      </c>
      <c r="T162" s="283" t="n">
        <f aca="false">IF(N162=1,1,0)</f>
        <v>1</v>
      </c>
      <c r="U162" s="283" t="n">
        <f aca="false">U161+T162</f>
        <v>51</v>
      </c>
      <c r="V162" s="283" t="n">
        <f aca="false">IF(T162=0,0,U162)</f>
        <v>51</v>
      </c>
    </row>
    <row r="163" customFormat="false" ht="52.2" hidden="false" customHeight="false" outlineLevel="0" collapsed="false">
      <c r="A163" s="311" t="str">
        <f aca="false">Questions!$A163</f>
        <v>PPPR-02</v>
      </c>
      <c r="B163" s="311" t="str">
        <f aca="false">LEFT(A163,4)</f>
        <v>PPPR</v>
      </c>
      <c r="C163" s="311" t="str">
        <f aca="false">VLOOKUP($A163,Questions!$A$3:$L$333,2,0)&amp;""</f>
        <v>Can your organization comply with institutional policies on privacy and data protection with regard to users of institutional systems, if required?*</v>
      </c>
      <c r="D163" s="311" t="str">
        <f aca="false">VLOOKUP($A163,Questions!$A$3:$L$333,11,0)&amp;""</f>
        <v/>
      </c>
      <c r="E163" s="311" t="str">
        <f aca="false">VLOOKUP($A163,Questions!$A$3:$L$333,12,0)&amp;""</f>
        <v>Organization</v>
      </c>
      <c r="F163" s="311" t="str">
        <f aca="false">VLOOKUP($A163,'Institution Evaluation'!$A$56:$K$346,3,0)&amp;""</f>
        <v>Yes</v>
      </c>
      <c r="G163" s="311" t="str">
        <f aca="false">VLOOKUP($A163,'Institution Evaluation'!$A$56:$K$346,7,0)&amp;""</f>
        <v>Yes</v>
      </c>
      <c r="H163" s="311" t="str">
        <f aca="false">VLOOKUP($A163,'Institution Evaluation'!$A$56:$K$346,8,0)&amp;""</f>
        <v/>
      </c>
      <c r="I163" s="311" t="str">
        <f aca="false">VLOOKUP($A163,'Institution Evaluation'!$A$56:$K$346,9,0)&amp;""</f>
        <v>Critical Importance</v>
      </c>
      <c r="J163" s="311" t="str">
        <f aca="false">VLOOKUP($A163,'Institution Evaluation'!$A$56:$K$346,10,0)&amp;""</f>
        <v/>
      </c>
      <c r="K163" s="311" t="n">
        <f aca="false">IF($I163="Critical Importance",20,IF($I163="Minor Importance",5,10))</f>
        <v>20</v>
      </c>
      <c r="L163" s="283" t="n">
        <f aca="false">IF($E163="Not Scored", "N/A",IF(AND($D163='Auto Responses'!$J$27,$H163=""),"N/A",IF(AND($D163='Auto Responses'!$J$27,$H163='Auto Responses'!$J$7),1,IF(AND($D163='Auto Responses'!$J$27,$H163='Auto Responses'!$J$8),0,IF(OR($F163=$G163,$H163='Auto Responses'!$J$7),1,0)))))</f>
        <v>1</v>
      </c>
      <c r="M163" s="311" t="str">
        <f aca="false">VLOOKUP($A163,'Institution Evaluation'!$A$56:$K$346,10,0)&amp;""</f>
        <v/>
      </c>
      <c r="N163" s="311" t="n">
        <f aca="false">IF($J163="Critical Importance",1,IF(AND($J163="",$I163="Critical Importance"),1,0))</f>
        <v>1</v>
      </c>
      <c r="O163" s="283" t="n">
        <f aca="false">IF($E163="Not Scored","N/A",IF($J163="",$K163,IF($J163="Minor Importance",5,IF($J163="Standard Importance",10,IF($J163="Critical Importance",20,0)))))</f>
        <v>20</v>
      </c>
      <c r="P163" s="283" t="n">
        <f aca="false">IF(OR($O163="N/A",$L163="N/A"),"N/A",$O163*$L163)</f>
        <v>20</v>
      </c>
      <c r="Q163" s="283" t="n">
        <f aca="false">IF(M163="TRUE",1,0)</f>
        <v>0</v>
      </c>
      <c r="R163" s="283" t="n">
        <f aca="false">R162+Q163</f>
        <v>0</v>
      </c>
      <c r="S163" s="283" t="n">
        <f aca="false">IF(Q163=0,0,R163)</f>
        <v>0</v>
      </c>
      <c r="T163" s="283" t="n">
        <f aca="false">IF(N163=1,1,0)</f>
        <v>1</v>
      </c>
      <c r="U163" s="283" t="n">
        <f aca="false">U162+T163</f>
        <v>52</v>
      </c>
      <c r="V163" s="283" t="n">
        <f aca="false">IF(T163=0,0,U163)</f>
        <v>52</v>
      </c>
    </row>
    <row r="164" customFormat="false" ht="26.85" hidden="false" customHeight="false" outlineLevel="0" collapsed="false">
      <c r="A164" s="311" t="str">
        <f aca="false">Questions!$A164</f>
        <v>PPPR-03</v>
      </c>
      <c r="B164" s="311" t="str">
        <f aca="false">LEFT(A164,4)</f>
        <v>PPPR</v>
      </c>
      <c r="C164" s="311" t="str">
        <f aca="false">VLOOKUP($A164,Questions!$A$3:$L$333,2,0)&amp;""</f>
        <v>Is your company subject to the institution's geographic region's laws and regulations?*</v>
      </c>
      <c r="D164" s="311" t="str">
        <f aca="false">VLOOKUP($A164,Questions!$A$3:$L$333,11,0)&amp;""</f>
        <v/>
      </c>
      <c r="E164" s="311" t="str">
        <f aca="false">VLOOKUP($A164,Questions!$A$3:$L$333,12,0)&amp;""</f>
        <v>Organization</v>
      </c>
      <c r="F164" s="311" t="str">
        <f aca="false">VLOOKUP($A164,'Institution Evaluation'!$A$56:$K$346,3,0)&amp;""</f>
        <v>Yes</v>
      </c>
      <c r="G164" s="311" t="str">
        <f aca="false">VLOOKUP($A164,'Institution Evaluation'!$A$56:$K$346,7,0)&amp;""</f>
        <v>Yes</v>
      </c>
      <c r="H164" s="311" t="str">
        <f aca="false">VLOOKUP($A164,'Institution Evaluation'!$A$56:$K$346,8,0)&amp;""</f>
        <v/>
      </c>
      <c r="I164" s="311" t="str">
        <f aca="false">VLOOKUP($A164,'Institution Evaluation'!$A$56:$K$346,9,0)&amp;""</f>
        <v>Critical Importance</v>
      </c>
      <c r="J164" s="311" t="str">
        <f aca="false">VLOOKUP($A164,'Institution Evaluation'!$A$56:$K$346,10,0)&amp;""</f>
        <v/>
      </c>
      <c r="K164" s="311" t="n">
        <f aca="false">IF($I164="Critical Importance",20,IF($I164="Minor Importance",5,10))</f>
        <v>20</v>
      </c>
      <c r="L164" s="283" t="n">
        <f aca="false">IF($E164="Not Scored", "N/A",IF(AND($D164='Auto Responses'!$J$27,$H164=""),"N/A",IF(AND($D164='Auto Responses'!$J$27,$H164='Auto Responses'!$J$7),1,IF(AND($D164='Auto Responses'!$J$27,$H164='Auto Responses'!$J$8),0,IF(OR($F164=$G164,$H164='Auto Responses'!$J$7),1,0)))))</f>
        <v>1</v>
      </c>
      <c r="M164" s="311" t="str">
        <f aca="false">VLOOKUP($A164,'Institution Evaluation'!$A$56:$K$346,10,0)&amp;""</f>
        <v/>
      </c>
      <c r="N164" s="311" t="n">
        <f aca="false">IF($J164="Critical Importance",1,IF(AND($J164="",$I164="Critical Importance"),1,0))</f>
        <v>1</v>
      </c>
      <c r="O164" s="283" t="n">
        <f aca="false">IF($E164="Not Scored","N/A",IF($J164="",$K164,IF($J164="Minor Importance",5,IF($J164="Standard Importance",10,IF($J164="Critical Importance",20,0)))))</f>
        <v>20</v>
      </c>
      <c r="P164" s="283" t="n">
        <f aca="false">IF(OR($O164="N/A",$L164="N/A"),"N/A",$O164*$L164)</f>
        <v>20</v>
      </c>
      <c r="Q164" s="283" t="n">
        <f aca="false">IF(M164="TRUE",1,0)</f>
        <v>0</v>
      </c>
      <c r="R164" s="283" t="n">
        <f aca="false">R163+Q164</f>
        <v>0</v>
      </c>
      <c r="S164" s="283" t="n">
        <f aca="false">IF(Q164=0,0,R164)</f>
        <v>0</v>
      </c>
      <c r="T164" s="283" t="n">
        <f aca="false">IF(N164=1,1,0)</f>
        <v>1</v>
      </c>
      <c r="U164" s="283" t="n">
        <f aca="false">U163+T164</f>
        <v>53</v>
      </c>
      <c r="V164" s="283" t="n">
        <f aca="false">IF(T164=0,0,U164)</f>
        <v>53</v>
      </c>
    </row>
    <row r="165" customFormat="false" ht="26.85" hidden="false" customHeight="false" outlineLevel="0" collapsed="false">
      <c r="A165" s="311" t="str">
        <f aca="false">Questions!$A165</f>
        <v>PPPR-04</v>
      </c>
      <c r="B165" s="311" t="str">
        <f aca="false">LEFT(A165,4)</f>
        <v>PPPR</v>
      </c>
      <c r="C165" s="311" t="str">
        <f aca="false">VLOOKUP($A165,Questions!$A$3:$L$333,2,0)&amp;""</f>
        <v>Can you accommodate encryption requirements using open standards?</v>
      </c>
      <c r="D165" s="311" t="str">
        <f aca="false">VLOOKUP($A165,Questions!$A$3:$L$333,11,0)&amp;""</f>
        <v/>
      </c>
      <c r="E165" s="311" t="str">
        <f aca="false">VLOOKUP($A165,Questions!$A$3:$L$333,12,0)&amp;""</f>
        <v>Organization</v>
      </c>
      <c r="F165" s="311" t="str">
        <f aca="false">VLOOKUP($A165,'Institution Evaluation'!$A$56:$K$346,3,0)&amp;""</f>
        <v>Yes</v>
      </c>
      <c r="G165" s="311" t="str">
        <f aca="false">VLOOKUP($A165,'Institution Evaluation'!$A$56:$K$346,7,0)&amp;""</f>
        <v>Yes</v>
      </c>
      <c r="H165" s="311" t="str">
        <f aca="false">VLOOKUP($A165,'Institution Evaluation'!$A$56:$K$346,8,0)&amp;""</f>
        <v/>
      </c>
      <c r="I165" s="311" t="str">
        <f aca="false">VLOOKUP($A165,'Institution Evaluation'!$A$56:$K$346,9,0)&amp;""</f>
        <v>Standard Importance</v>
      </c>
      <c r="J165" s="311" t="str">
        <f aca="false">VLOOKUP($A165,'Institution Evaluation'!$A$56:$K$346,10,0)&amp;""</f>
        <v/>
      </c>
      <c r="K165" s="311" t="n">
        <f aca="false">IF($I165="Critical Importance",20,IF($I165="Minor Importance",5,10))</f>
        <v>10</v>
      </c>
      <c r="L165" s="283" t="n">
        <f aca="false">IF($E165="Not Scored", "N/A",IF(AND($D165='Auto Responses'!$J$27,$H165=""),"N/A",IF(AND($D165='Auto Responses'!$J$27,$H165='Auto Responses'!$J$7),1,IF(AND($D165='Auto Responses'!$J$27,$H165='Auto Responses'!$J$8),0,IF(OR($F165=$G165,$H165='Auto Responses'!$J$7),1,0)))))</f>
        <v>1</v>
      </c>
      <c r="M165" s="311" t="str">
        <f aca="false">VLOOKUP($A165,'Institution Evaluation'!$A$56:$K$346,10,0)&amp;""</f>
        <v/>
      </c>
      <c r="N165" s="311" t="n">
        <f aca="false">IF($J165="Critical Importance",1,IF(AND($J165="",$I165="Critical Importance"),1,0))</f>
        <v>0</v>
      </c>
      <c r="O165" s="283" t="n">
        <f aca="false">IF($E165="Not Scored","N/A",IF($J165="",$K165,IF($J165="Minor Importance",5,IF($J165="Standard Importance",10,IF($J165="Critical Importance",20,0)))))</f>
        <v>10</v>
      </c>
      <c r="P165" s="283" t="n">
        <f aca="false">IF(OR($O165="N/A",$L165="N/A"),"N/A",$O165*$L165)</f>
        <v>10</v>
      </c>
      <c r="Q165" s="283" t="n">
        <f aca="false">IF(M165="TRUE",1,0)</f>
        <v>0</v>
      </c>
      <c r="R165" s="283" t="n">
        <f aca="false">R164+Q165</f>
        <v>0</v>
      </c>
      <c r="S165" s="283" t="n">
        <f aca="false">IF(Q165=0,0,R165)</f>
        <v>0</v>
      </c>
      <c r="T165" s="283" t="n">
        <f aca="false">IF(N165=1,1,0)</f>
        <v>0</v>
      </c>
      <c r="U165" s="283" t="n">
        <f aca="false">U164+T165</f>
        <v>53</v>
      </c>
      <c r="V165" s="283" t="n">
        <f aca="false">IF(T165=0,0,U165)</f>
        <v>0</v>
      </c>
    </row>
    <row r="166" customFormat="false" ht="26.85" hidden="false" customHeight="false" outlineLevel="0" collapsed="false">
      <c r="A166" s="311" t="str">
        <f aca="false">Questions!$A166</f>
        <v>PPPR-05</v>
      </c>
      <c r="B166" s="311" t="str">
        <f aca="false">LEFT(A166,4)</f>
        <v>PPPR</v>
      </c>
      <c r="C166" s="311" t="str">
        <f aca="false">VLOOKUP($A166,Questions!$A$3:$L$333,2,0)&amp;""</f>
        <v>Do you have a documented systems development life cycle (SDLC)?</v>
      </c>
      <c r="D166" s="311" t="str">
        <f aca="false">VLOOKUP($A166,Questions!$A$3:$L$333,11,0)&amp;""</f>
        <v/>
      </c>
      <c r="E166" s="311" t="str">
        <f aca="false">VLOOKUP($A166,Questions!$A$3:$L$333,12,0)&amp;""</f>
        <v>Organization</v>
      </c>
      <c r="F166" s="311" t="str">
        <f aca="false">VLOOKUP($A166,'Institution Evaluation'!$A$56:$K$346,3,0)&amp;""</f>
        <v>No</v>
      </c>
      <c r="G166" s="311" t="str">
        <f aca="false">VLOOKUP($A166,'Institution Evaluation'!$A$56:$K$346,7,0)&amp;""</f>
        <v>Yes</v>
      </c>
      <c r="H166" s="311" t="str">
        <f aca="false">VLOOKUP($A166,'Institution Evaluation'!$A$56:$K$346,8,0)&amp;""</f>
        <v/>
      </c>
      <c r="I166" s="311" t="str">
        <f aca="false">VLOOKUP($A166,'Institution Evaluation'!$A$56:$K$346,9,0)&amp;""</f>
        <v>Standard Importance</v>
      </c>
      <c r="J166" s="311" t="str">
        <f aca="false">VLOOKUP($A166,'Institution Evaluation'!$A$56:$K$346,10,0)&amp;""</f>
        <v/>
      </c>
      <c r="K166" s="311" t="n">
        <f aca="false">IF($I166="Critical Importance",20,IF($I166="Minor Importance",5,10))</f>
        <v>10</v>
      </c>
      <c r="L166" s="283" t="n">
        <f aca="false">IF($E166="Not Scored", "N/A",IF(AND($D166='Auto Responses'!$J$27,$H166=""),"N/A",IF(AND($D166='Auto Responses'!$J$27,$H166='Auto Responses'!$J$7),1,IF(AND($D166='Auto Responses'!$J$27,$H166='Auto Responses'!$J$8),0,IF(OR($F166=$G166,$H166='Auto Responses'!$J$7),1,0)))))</f>
        <v>0</v>
      </c>
      <c r="M166" s="311" t="str">
        <f aca="false">VLOOKUP($A166,'Institution Evaluation'!$A$56:$K$346,10,0)&amp;""</f>
        <v/>
      </c>
      <c r="N166" s="311" t="n">
        <f aca="false">IF($J166="Critical Importance",1,IF(AND($J166="",$I166="Critical Importance"),1,0))</f>
        <v>0</v>
      </c>
      <c r="O166" s="283" t="n">
        <f aca="false">IF($E166="Not Scored","N/A",IF($J166="",$K166,IF($J166="Minor Importance",5,IF($J166="Standard Importance",10,IF($J166="Critical Importance",20,0)))))</f>
        <v>10</v>
      </c>
      <c r="P166" s="283" t="n">
        <f aca="false">IF(OR($O166="N/A",$L166="N/A"),"N/A",$O166*$L166)</f>
        <v>0</v>
      </c>
      <c r="Q166" s="283" t="n">
        <f aca="false">IF(M166="TRUE",1,0)</f>
        <v>0</v>
      </c>
      <c r="R166" s="283" t="n">
        <f aca="false">R165+Q166</f>
        <v>0</v>
      </c>
      <c r="S166" s="283" t="n">
        <f aca="false">IF(Q166=0,0,R166)</f>
        <v>0</v>
      </c>
      <c r="T166" s="283" t="n">
        <f aca="false">IF(N166=1,1,0)</f>
        <v>0</v>
      </c>
      <c r="U166" s="283" t="n">
        <f aca="false">U165+T166</f>
        <v>53</v>
      </c>
      <c r="V166" s="283" t="n">
        <f aca="false">IF(T166=0,0,U166)</f>
        <v>0</v>
      </c>
    </row>
    <row r="167" customFormat="false" ht="39.55" hidden="false" customHeight="false" outlineLevel="0" collapsed="false">
      <c r="A167" s="311" t="str">
        <f aca="false">Questions!$A167</f>
        <v>PPPR-06</v>
      </c>
      <c r="B167" s="311" t="str">
        <f aca="false">LEFT(A167,4)</f>
        <v>PPPR</v>
      </c>
      <c r="C167" s="311" t="str">
        <f aca="false">VLOOKUP($A167,Questions!$A$3:$L$333,2,0)&amp;""</f>
        <v>Do you perform background screenings or multi-state background checks on all employees prior to their first day of work?</v>
      </c>
      <c r="D167" s="311" t="str">
        <f aca="false">VLOOKUP($A167,Questions!$A$3:$L$333,11,0)&amp;""</f>
        <v/>
      </c>
      <c r="E167" s="311" t="str">
        <f aca="false">VLOOKUP($A167,Questions!$A$3:$L$333,12,0)&amp;""</f>
        <v>Organization</v>
      </c>
      <c r="F167" s="311" t="str">
        <f aca="false">VLOOKUP($A167,'Institution Evaluation'!$A$56:$K$346,3,0)&amp;""</f>
        <v>No</v>
      </c>
      <c r="G167" s="311" t="str">
        <f aca="false">VLOOKUP($A167,'Institution Evaluation'!$A$56:$K$346,7,0)&amp;""</f>
        <v>Yes</v>
      </c>
      <c r="H167" s="311" t="str">
        <f aca="false">VLOOKUP($A167,'Institution Evaluation'!$A$56:$K$346,8,0)&amp;""</f>
        <v/>
      </c>
      <c r="I167" s="311" t="str">
        <f aca="false">VLOOKUP($A167,'Institution Evaluation'!$A$56:$K$346,9,0)&amp;""</f>
        <v>Standard Importance</v>
      </c>
      <c r="J167" s="311" t="str">
        <f aca="false">VLOOKUP($A167,'Institution Evaluation'!$A$56:$K$346,10,0)&amp;""</f>
        <v/>
      </c>
      <c r="K167" s="311" t="n">
        <f aca="false">IF($I167="Critical Importance",20,IF($I167="Minor Importance",5,10))</f>
        <v>10</v>
      </c>
      <c r="L167" s="283" t="n">
        <f aca="false">IF($E167="Not Scored", "N/A",IF(AND($D167='Auto Responses'!$J$27,$H167=""),"N/A",IF(AND($D167='Auto Responses'!$J$27,$H167='Auto Responses'!$J$7),1,IF(AND($D167='Auto Responses'!$J$27,$H167='Auto Responses'!$J$8),0,IF(OR($F167=$G167,$H167='Auto Responses'!$J$7),1,0)))))</f>
        <v>0</v>
      </c>
      <c r="M167" s="311" t="str">
        <f aca="false">VLOOKUP($A167,'Institution Evaluation'!$A$56:$K$346,10,0)&amp;""</f>
        <v/>
      </c>
      <c r="N167" s="311" t="n">
        <f aca="false">IF($J167="Critical Importance",1,IF(AND($J167="",$I167="Critical Importance"),1,0))</f>
        <v>0</v>
      </c>
      <c r="O167" s="283" t="n">
        <f aca="false">IF($E167="Not Scored","N/A",IF($J167="",$K167,IF($J167="Minor Importance",5,IF($J167="Standard Importance",10,IF($J167="Critical Importance",20,0)))))</f>
        <v>10</v>
      </c>
      <c r="P167" s="283" t="n">
        <f aca="false">IF(OR($O167="N/A",$L167="N/A"),"N/A",$O167*$L167)</f>
        <v>0</v>
      </c>
      <c r="Q167" s="283" t="n">
        <f aca="false">IF(M167="TRUE",1,0)</f>
        <v>0</v>
      </c>
      <c r="R167" s="283" t="n">
        <f aca="false">R166+Q167</f>
        <v>0</v>
      </c>
      <c r="S167" s="283" t="n">
        <f aca="false">IF(Q167=0,0,R167)</f>
        <v>0</v>
      </c>
      <c r="T167" s="283" t="n">
        <f aca="false">IF(N167=1,1,0)</f>
        <v>0</v>
      </c>
      <c r="U167" s="283" t="n">
        <f aca="false">U166+T167</f>
        <v>53</v>
      </c>
      <c r="V167" s="283" t="n">
        <f aca="false">IF(T167=0,0,U167)</f>
        <v>0</v>
      </c>
    </row>
    <row r="168" customFormat="false" ht="26.85" hidden="false" customHeight="false" outlineLevel="0" collapsed="false">
      <c r="A168" s="311" t="str">
        <f aca="false">Questions!$A168</f>
        <v>PPPR-07</v>
      </c>
      <c r="B168" s="311" t="str">
        <f aca="false">LEFT(A168,4)</f>
        <v>PPPR</v>
      </c>
      <c r="C168" s="311" t="str">
        <f aca="false">VLOOKUP($A168,Questions!$A$3:$L$333,2,0)&amp;""</f>
        <v>Do you require new employees to fill out agreements and review policies?</v>
      </c>
      <c r="D168" s="311" t="str">
        <f aca="false">VLOOKUP($A168,Questions!$A$3:$L$333,11,0)&amp;""</f>
        <v/>
      </c>
      <c r="E168" s="311" t="str">
        <f aca="false">VLOOKUP($A168,Questions!$A$3:$L$333,12,0)&amp;""</f>
        <v>Organization</v>
      </c>
      <c r="F168" s="311" t="str">
        <f aca="false">VLOOKUP($A168,'Institution Evaluation'!$A$56:$K$346,3,0)&amp;""</f>
        <v>Yes</v>
      </c>
      <c r="G168" s="311" t="str">
        <f aca="false">VLOOKUP($A168,'Institution Evaluation'!$A$56:$K$346,7,0)&amp;""</f>
        <v>Yes</v>
      </c>
      <c r="H168" s="311" t="str">
        <f aca="false">VLOOKUP($A168,'Institution Evaluation'!$A$56:$K$346,8,0)&amp;""</f>
        <v/>
      </c>
      <c r="I168" s="311" t="str">
        <f aca="false">VLOOKUP($A168,'Institution Evaluation'!$A$56:$K$346,9,0)&amp;""</f>
        <v>Standard Importance</v>
      </c>
      <c r="J168" s="311" t="str">
        <f aca="false">VLOOKUP($A168,'Institution Evaluation'!$A$56:$K$346,10,0)&amp;""</f>
        <v/>
      </c>
      <c r="K168" s="311" t="n">
        <f aca="false">IF($I168="Critical Importance",20,IF($I168="Minor Importance",5,10))</f>
        <v>10</v>
      </c>
      <c r="L168" s="283" t="n">
        <f aca="false">IF($E168="Not Scored", "N/A",IF(AND($D168='Auto Responses'!$J$27,$H168=""),"N/A",IF(AND($D168='Auto Responses'!$J$27,$H168='Auto Responses'!$J$7),1,IF(AND($D168='Auto Responses'!$J$27,$H168='Auto Responses'!$J$8),0,IF(OR($F168=$G168,$H168='Auto Responses'!$J$7),1,0)))))</f>
        <v>1</v>
      </c>
      <c r="M168" s="311" t="str">
        <f aca="false">VLOOKUP($A168,'Institution Evaluation'!$A$56:$K$346,10,0)&amp;""</f>
        <v/>
      </c>
      <c r="N168" s="311" t="n">
        <f aca="false">IF($J168="Critical Importance",1,IF(AND($J168="",$I168="Critical Importance"),1,0))</f>
        <v>0</v>
      </c>
      <c r="O168" s="283" t="n">
        <f aca="false">IF($E168="Not Scored","N/A",IF($J168="",$K168,IF($J168="Minor Importance",5,IF($J168="Standard Importance",10,IF($J168="Critical Importance",20,0)))))</f>
        <v>10</v>
      </c>
      <c r="P168" s="283" t="n">
        <f aca="false">IF(OR($O168="N/A",$L168="N/A"),"N/A",$O168*$L168)</f>
        <v>10</v>
      </c>
      <c r="Q168" s="283" t="n">
        <f aca="false">IF(M168="TRUE",1,0)</f>
        <v>0</v>
      </c>
      <c r="R168" s="283" t="n">
        <f aca="false">R167+Q168</f>
        <v>0</v>
      </c>
      <c r="S168" s="283" t="n">
        <f aca="false">IF(Q168=0,0,R168)</f>
        <v>0</v>
      </c>
      <c r="T168" s="283" t="n">
        <f aca="false">IF(N168=1,1,0)</f>
        <v>0</v>
      </c>
      <c r="U168" s="283" t="n">
        <f aca="false">U167+T168</f>
        <v>53</v>
      </c>
      <c r="V168" s="283" t="n">
        <f aca="false">IF(T168=0,0,U168)</f>
        <v>0</v>
      </c>
    </row>
    <row r="169" customFormat="false" ht="26.85" hidden="false" customHeight="false" outlineLevel="0" collapsed="false">
      <c r="A169" s="311" t="str">
        <f aca="false">Questions!$A169</f>
        <v>PPPR-08</v>
      </c>
      <c r="B169" s="311" t="str">
        <f aca="false">LEFT(A169,4)</f>
        <v>PPPR</v>
      </c>
      <c r="C169" s="311" t="str">
        <f aca="false">VLOOKUP($A169,Questions!$A$3:$L$333,2,0)&amp;""</f>
        <v>Do you have a documented information security policy?</v>
      </c>
      <c r="D169" s="311" t="str">
        <f aca="false">VLOOKUP($A169,Questions!$A$3:$L$333,11,0)&amp;""</f>
        <v/>
      </c>
      <c r="E169" s="311" t="str">
        <f aca="false">VLOOKUP($A169,Questions!$A$3:$L$333,12,0)&amp;""</f>
        <v>Organization</v>
      </c>
      <c r="F169" s="311" t="str">
        <f aca="false">VLOOKUP($A169,'Institution Evaluation'!$A$56:$K$346,3,0)&amp;""</f>
        <v>Yes</v>
      </c>
      <c r="G169" s="311" t="str">
        <f aca="false">VLOOKUP($A169,'Institution Evaluation'!$A$56:$K$346,7,0)&amp;""</f>
        <v>Yes</v>
      </c>
      <c r="H169" s="311" t="str">
        <f aca="false">VLOOKUP($A169,'Institution Evaluation'!$A$56:$K$346,8,0)&amp;""</f>
        <v/>
      </c>
      <c r="I169" s="311" t="str">
        <f aca="false">VLOOKUP($A169,'Institution Evaluation'!$A$56:$K$346,9,0)&amp;""</f>
        <v>Standard Importance</v>
      </c>
      <c r="J169" s="311" t="str">
        <f aca="false">VLOOKUP($A169,'Institution Evaluation'!$A$56:$K$346,10,0)&amp;""</f>
        <v/>
      </c>
      <c r="K169" s="311" t="n">
        <f aca="false">IF($I169="Critical Importance",20,IF($I169="Minor Importance",5,10))</f>
        <v>10</v>
      </c>
      <c r="L169" s="283" t="n">
        <f aca="false">IF($E169="Not Scored", "N/A",IF(AND($D169='Auto Responses'!$J$27,$H169=""),"N/A",IF(AND($D169='Auto Responses'!$J$27,$H169='Auto Responses'!$J$7),1,IF(AND($D169='Auto Responses'!$J$27,$H169='Auto Responses'!$J$8),0,IF(OR($F169=$G169,$H169='Auto Responses'!$J$7),1,0)))))</f>
        <v>1</v>
      </c>
      <c r="M169" s="311" t="str">
        <f aca="false">VLOOKUP($A169,'Institution Evaluation'!$A$56:$K$346,10,0)&amp;""</f>
        <v/>
      </c>
      <c r="N169" s="311" t="n">
        <f aca="false">IF($J169="Critical Importance",1,IF(AND($J169="",$I169="Critical Importance"),1,0))</f>
        <v>0</v>
      </c>
      <c r="O169" s="283" t="n">
        <f aca="false">IF($E169="Not Scored","N/A",IF($J169="",$K169,IF($J169="Minor Importance",5,IF($J169="Standard Importance",10,IF($J169="Critical Importance",20,0)))))</f>
        <v>10</v>
      </c>
      <c r="P169" s="283" t="n">
        <f aca="false">IF(OR($O169="N/A",$L169="N/A"),"N/A",$O169*$L169)</f>
        <v>10</v>
      </c>
      <c r="Q169" s="283" t="n">
        <f aca="false">IF(M169="TRUE",1,0)</f>
        <v>0</v>
      </c>
      <c r="R169" s="283" t="n">
        <f aca="false">R168+Q169</f>
        <v>0</v>
      </c>
      <c r="S169" s="283" t="n">
        <f aca="false">IF(Q169=0,0,R169)</f>
        <v>0</v>
      </c>
      <c r="T169" s="283" t="n">
        <f aca="false">IF(N169=1,1,0)</f>
        <v>0</v>
      </c>
      <c r="U169" s="283" t="n">
        <f aca="false">U168+T169</f>
        <v>53</v>
      </c>
      <c r="V169" s="283" t="n">
        <f aca="false">IF(T169=0,0,U169)</f>
        <v>0</v>
      </c>
    </row>
    <row r="170" customFormat="false" ht="26.85" hidden="false" customHeight="false" outlineLevel="0" collapsed="false">
      <c r="A170" s="311" t="str">
        <f aca="false">Questions!$A170</f>
        <v>PPPR-09</v>
      </c>
      <c r="B170" s="311" t="str">
        <f aca="false">LEFT(A170,4)</f>
        <v>PPPR</v>
      </c>
      <c r="C170" s="311" t="str">
        <f aca="false">VLOOKUP($A170,Questions!$A$3:$L$333,2,0)&amp;""</f>
        <v>Are information security principles designed into the product lifecycle?</v>
      </c>
      <c r="D170" s="311" t="str">
        <f aca="false">VLOOKUP($A170,Questions!$A$3:$L$333,11,0)&amp;""</f>
        <v/>
      </c>
      <c r="E170" s="311" t="str">
        <f aca="false">VLOOKUP($A170,Questions!$A$3:$L$333,12,0)&amp;""</f>
        <v>Organization</v>
      </c>
      <c r="F170" s="311" t="str">
        <f aca="false">VLOOKUP($A170,'Institution Evaluation'!$A$56:$K$346,3,0)&amp;""</f>
        <v>Yes</v>
      </c>
      <c r="G170" s="311" t="str">
        <f aca="false">VLOOKUP($A170,'Institution Evaluation'!$A$56:$K$346,7,0)&amp;""</f>
        <v>Yes</v>
      </c>
      <c r="H170" s="311" t="str">
        <f aca="false">VLOOKUP($A170,'Institution Evaluation'!$A$56:$K$346,8,0)&amp;""</f>
        <v/>
      </c>
      <c r="I170" s="311" t="str">
        <f aca="false">VLOOKUP($A170,'Institution Evaluation'!$A$56:$K$346,9,0)&amp;""</f>
        <v>Minor Importance</v>
      </c>
      <c r="J170" s="311" t="str">
        <f aca="false">VLOOKUP($A170,'Institution Evaluation'!$A$56:$K$346,10,0)&amp;""</f>
        <v/>
      </c>
      <c r="K170" s="311" t="n">
        <f aca="false">IF($I170="Critical Importance",20,IF($I170="Minor Importance",5,10))</f>
        <v>5</v>
      </c>
      <c r="L170" s="283" t="n">
        <f aca="false">IF($E170="Not Scored", "N/A",IF(AND($D170='Auto Responses'!$J$27,$H170=""),"N/A",IF(AND($D170='Auto Responses'!$J$27,$H170='Auto Responses'!$J$7),1,IF(AND($D170='Auto Responses'!$J$27,$H170='Auto Responses'!$J$8),0,IF(OR($F170=$G170,$H170='Auto Responses'!$J$7),1,0)))))</f>
        <v>1</v>
      </c>
      <c r="M170" s="311" t="str">
        <f aca="false">VLOOKUP($A170,'Institution Evaluation'!$A$56:$K$346,10,0)&amp;""</f>
        <v/>
      </c>
      <c r="N170" s="311" t="n">
        <f aca="false">IF($J170="Critical Importance",1,IF(AND($J170="",$I170="Critical Importance"),1,0))</f>
        <v>0</v>
      </c>
      <c r="O170" s="283" t="n">
        <f aca="false">IF($E170="Not Scored","N/A",IF($J170="",$K170,IF($J170="Minor Importance",5,IF($J170="Standard Importance",10,IF($J170="Critical Importance",20,0)))))</f>
        <v>5</v>
      </c>
      <c r="P170" s="283" t="n">
        <f aca="false">IF(OR($O170="N/A",$L170="N/A"),"N/A",$O170*$L170)</f>
        <v>5</v>
      </c>
      <c r="Q170" s="283" t="n">
        <f aca="false">IF(M170="TRUE",1,0)</f>
        <v>0</v>
      </c>
      <c r="R170" s="283" t="n">
        <f aca="false">R169+Q170</f>
        <v>0</v>
      </c>
      <c r="S170" s="283" t="n">
        <f aca="false">IF(Q170=0,0,R170)</f>
        <v>0</v>
      </c>
      <c r="T170" s="283" t="n">
        <f aca="false">IF(N170=1,1,0)</f>
        <v>0</v>
      </c>
      <c r="U170" s="283" t="n">
        <f aca="false">U169+T170</f>
        <v>53</v>
      </c>
      <c r="V170" s="283" t="n">
        <f aca="false">IF(T170=0,0,U170)</f>
        <v>0</v>
      </c>
    </row>
    <row r="171" customFormat="false" ht="26.85" hidden="false" customHeight="false" outlineLevel="0" collapsed="false">
      <c r="A171" s="311" t="str">
        <f aca="false">Questions!$A171</f>
        <v>PPPR-10</v>
      </c>
      <c r="B171" s="311" t="str">
        <f aca="false">LEFT(A171,4)</f>
        <v>PPPR</v>
      </c>
      <c r="C171" s="311" t="str">
        <f aca="false">VLOOKUP($A171,Questions!$A$3:$L$333,2,0)&amp;""</f>
        <v>Will you comply with applicable breach notification laws?</v>
      </c>
      <c r="D171" s="311" t="str">
        <f aca="false">VLOOKUP($A171,Questions!$A$3:$L$333,11,0)&amp;""</f>
        <v/>
      </c>
      <c r="E171" s="311" t="str">
        <f aca="false">VLOOKUP($A171,Questions!$A$3:$L$333,12,0)&amp;""</f>
        <v>Organization</v>
      </c>
      <c r="F171" s="311" t="str">
        <f aca="false">VLOOKUP($A171,'Institution Evaluation'!$A$56:$K$346,3,0)&amp;""</f>
        <v>No</v>
      </c>
      <c r="G171" s="311" t="str">
        <f aca="false">VLOOKUP($A171,'Institution Evaluation'!$A$56:$K$346,7,0)&amp;""</f>
        <v>Yes</v>
      </c>
      <c r="H171" s="311" t="str">
        <f aca="false">VLOOKUP($A171,'Institution Evaluation'!$A$56:$K$346,8,0)&amp;""</f>
        <v/>
      </c>
      <c r="I171" s="311" t="str">
        <f aca="false">VLOOKUP($A171,'Institution Evaluation'!$A$56:$K$346,9,0)&amp;""</f>
        <v>Minor Importance</v>
      </c>
      <c r="J171" s="311" t="str">
        <f aca="false">VLOOKUP($A171,'Institution Evaluation'!$A$56:$K$346,10,0)&amp;""</f>
        <v/>
      </c>
      <c r="K171" s="311" t="n">
        <f aca="false">IF($I171="Critical Importance",20,IF($I171="Minor Importance",5,10))</f>
        <v>5</v>
      </c>
      <c r="L171" s="283" t="n">
        <f aca="false">IF($E171="Not Scored", "N/A",IF(AND($D171='Auto Responses'!$J$27,$H171=""),"N/A",IF(AND($D171='Auto Responses'!$J$27,$H171='Auto Responses'!$J$7),1,IF(AND($D171='Auto Responses'!$J$27,$H171='Auto Responses'!$J$8),0,IF(OR($F171=$G171,$H171='Auto Responses'!$J$7),1,0)))))</f>
        <v>0</v>
      </c>
      <c r="M171" s="311" t="str">
        <f aca="false">VLOOKUP($A171,'Institution Evaluation'!$A$56:$K$346,10,0)&amp;""</f>
        <v/>
      </c>
      <c r="N171" s="311" t="n">
        <f aca="false">IF($J171="Critical Importance",1,IF(AND($J171="",$I171="Critical Importance"),1,0))</f>
        <v>0</v>
      </c>
      <c r="O171" s="283" t="n">
        <f aca="false">IF($E171="Not Scored","N/A",IF($J171="",$K171,IF($J171="Minor Importance",5,IF($J171="Standard Importance",10,IF($J171="Critical Importance",20,0)))))</f>
        <v>5</v>
      </c>
      <c r="P171" s="283" t="n">
        <f aca="false">IF(OR($O171="N/A",$L171="N/A"),"N/A",$O171*$L171)</f>
        <v>0</v>
      </c>
      <c r="Q171" s="283" t="n">
        <f aca="false">IF(M171="TRUE",1,0)</f>
        <v>0</v>
      </c>
      <c r="R171" s="283" t="n">
        <f aca="false">R170+Q171</f>
        <v>0</v>
      </c>
      <c r="S171" s="283" t="n">
        <f aca="false">IF(Q171=0,0,R171)</f>
        <v>0</v>
      </c>
      <c r="T171" s="283" t="n">
        <f aca="false">IF(N171=1,1,0)</f>
        <v>0</v>
      </c>
      <c r="U171" s="283" t="n">
        <f aca="false">U170+T171</f>
        <v>53</v>
      </c>
      <c r="V171" s="283" t="n">
        <f aca="false">IF(T171=0,0,U171)</f>
        <v>0</v>
      </c>
    </row>
    <row r="172" customFormat="false" ht="26.85" hidden="false" customHeight="false" outlineLevel="0" collapsed="false">
      <c r="A172" s="311" t="str">
        <f aca="false">Questions!$A172</f>
        <v>PPPR-11</v>
      </c>
      <c r="B172" s="311" t="str">
        <f aca="false">LEFT(A172,4)</f>
        <v>PPPR</v>
      </c>
      <c r="C172" s="311" t="str">
        <f aca="false">VLOOKUP($A172,Questions!$A$3:$L$333,2,0)&amp;""</f>
        <v>Do you have an information security awareness program?</v>
      </c>
      <c r="D172" s="311" t="str">
        <f aca="false">VLOOKUP($A172,Questions!$A$3:$L$333,11,0)&amp;""</f>
        <v/>
      </c>
      <c r="E172" s="311" t="str">
        <f aca="false">VLOOKUP($A172,Questions!$A$3:$L$333,12,0)&amp;""</f>
        <v>Organization</v>
      </c>
      <c r="F172" s="311" t="str">
        <f aca="false">VLOOKUP($A172,'Institution Evaluation'!$A$56:$K$346,3,0)&amp;""</f>
        <v>No</v>
      </c>
      <c r="G172" s="311" t="str">
        <f aca="false">VLOOKUP($A172,'Institution Evaluation'!$A$56:$K$346,7,0)&amp;""</f>
        <v>Yes</v>
      </c>
      <c r="H172" s="311" t="str">
        <f aca="false">VLOOKUP($A172,'Institution Evaluation'!$A$56:$K$346,8,0)&amp;""</f>
        <v/>
      </c>
      <c r="I172" s="311" t="str">
        <f aca="false">VLOOKUP($A172,'Institution Evaluation'!$A$56:$K$346,9,0)&amp;""</f>
        <v>Minor Importance</v>
      </c>
      <c r="J172" s="311" t="str">
        <f aca="false">VLOOKUP($A172,'Institution Evaluation'!$A$56:$K$346,10,0)&amp;""</f>
        <v/>
      </c>
      <c r="K172" s="311" t="n">
        <f aca="false">IF($I172="Critical Importance",20,IF($I172="Minor Importance",5,10))</f>
        <v>5</v>
      </c>
      <c r="L172" s="283" t="n">
        <f aca="false">IF($E172="Not Scored", "N/A",IF(AND($D172='Auto Responses'!$J$27,$H172=""),"N/A",IF(AND($D172='Auto Responses'!$J$27,$H172='Auto Responses'!$J$7),1,IF(AND($D172='Auto Responses'!$J$27,$H172='Auto Responses'!$J$8),0,IF(OR($F172=$G172,$H172='Auto Responses'!$J$7),1,0)))))</f>
        <v>0</v>
      </c>
      <c r="M172" s="311" t="str">
        <f aca="false">VLOOKUP($A172,'Institution Evaluation'!$A$56:$K$346,10,0)&amp;""</f>
        <v/>
      </c>
      <c r="N172" s="311" t="n">
        <f aca="false">IF($J172="Critical Importance",1,IF(AND($J172="",$I172="Critical Importance"),1,0))</f>
        <v>0</v>
      </c>
      <c r="O172" s="283" t="n">
        <f aca="false">IF($E172="Not Scored","N/A",IF($J172="",$K172,IF($J172="Minor Importance",5,IF($J172="Standard Importance",10,IF($J172="Critical Importance",20,0)))))</f>
        <v>5</v>
      </c>
      <c r="P172" s="283" t="n">
        <f aca="false">IF(OR($O172="N/A",$L172="N/A"),"N/A",$O172*$L172)</f>
        <v>0</v>
      </c>
      <c r="Q172" s="283" t="n">
        <f aca="false">IF(M172="TRUE",1,0)</f>
        <v>0</v>
      </c>
      <c r="R172" s="283" t="n">
        <f aca="false">R171+Q172</f>
        <v>0</v>
      </c>
      <c r="S172" s="283" t="n">
        <f aca="false">IF(Q172=0,0,R172)</f>
        <v>0</v>
      </c>
      <c r="T172" s="283" t="n">
        <f aca="false">IF(N172=1,1,0)</f>
        <v>0</v>
      </c>
      <c r="U172" s="283" t="n">
        <f aca="false">U171+T172</f>
        <v>53</v>
      </c>
      <c r="V172" s="283" t="n">
        <f aca="false">IF(T172=0,0,U172)</f>
        <v>0</v>
      </c>
    </row>
    <row r="173" customFormat="false" ht="26.85" hidden="false" customHeight="false" outlineLevel="0" collapsed="false">
      <c r="A173" s="311" t="str">
        <f aca="false">Questions!$A173</f>
        <v>PPPR-12</v>
      </c>
      <c r="B173" s="311" t="str">
        <f aca="false">LEFT(A173,4)</f>
        <v>PPPR</v>
      </c>
      <c r="C173" s="311" t="str">
        <f aca="false">VLOOKUP($A173,Questions!$A$3:$L$333,2,0)&amp;""</f>
        <v>Is security awareness training mandatory for all employees?</v>
      </c>
      <c r="D173" s="311" t="str">
        <f aca="false">VLOOKUP($A173,Questions!$A$3:$L$333,11,0)&amp;""</f>
        <v/>
      </c>
      <c r="E173" s="311" t="str">
        <f aca="false">VLOOKUP($A173,Questions!$A$3:$L$333,12,0)&amp;""</f>
        <v>Organization</v>
      </c>
      <c r="F173" s="311" t="str">
        <f aca="false">VLOOKUP($A173,'Institution Evaluation'!$A$56:$K$346,3,0)&amp;""</f>
        <v>No</v>
      </c>
      <c r="G173" s="311" t="str">
        <f aca="false">VLOOKUP($A173,'Institution Evaluation'!$A$56:$K$346,7,0)&amp;""</f>
        <v>Yes</v>
      </c>
      <c r="H173" s="311" t="str">
        <f aca="false">VLOOKUP($A173,'Institution Evaluation'!$A$56:$K$346,8,0)&amp;""</f>
        <v/>
      </c>
      <c r="I173" s="311" t="str">
        <f aca="false">VLOOKUP($A173,'Institution Evaluation'!$A$56:$K$346,9,0)&amp;""</f>
        <v>Minor Importance</v>
      </c>
      <c r="J173" s="311" t="str">
        <f aca="false">VLOOKUP($A173,'Institution Evaluation'!$A$56:$K$346,10,0)&amp;""</f>
        <v/>
      </c>
      <c r="K173" s="311" t="n">
        <f aca="false">IF($I173="Critical Importance",20,IF($I173="Minor Importance",5,10))</f>
        <v>5</v>
      </c>
      <c r="L173" s="283" t="n">
        <f aca="false">IF($E173="Not Scored", "N/A",IF(AND($D173='Auto Responses'!$J$27,$H173=""),"N/A",IF(AND($D173='Auto Responses'!$J$27,$H173='Auto Responses'!$J$7),1,IF(AND($D173='Auto Responses'!$J$27,$H173='Auto Responses'!$J$8),0,IF(OR($F173=$G173,$H173='Auto Responses'!$J$7),1,0)))))</f>
        <v>0</v>
      </c>
      <c r="M173" s="311" t="str">
        <f aca="false">VLOOKUP($A173,'Institution Evaluation'!$A$56:$K$346,10,0)&amp;""</f>
        <v/>
      </c>
      <c r="N173" s="311" t="n">
        <f aca="false">IF($J173="Critical Importance",1,IF(AND($J173="",$I173="Critical Importance"),1,0))</f>
        <v>0</v>
      </c>
      <c r="O173" s="283" t="n">
        <f aca="false">IF($E173="Not Scored","N/A",IF($J173="",$K173,IF($J173="Minor Importance",5,IF($J173="Standard Importance",10,IF($J173="Critical Importance",20,0)))))</f>
        <v>5</v>
      </c>
      <c r="P173" s="283" t="n">
        <f aca="false">IF(OR($O173="N/A",$L173="N/A"),"N/A",$O173*$L173)</f>
        <v>0</v>
      </c>
      <c r="Q173" s="283" t="n">
        <f aca="false">IF(M173="TRUE",1,0)</f>
        <v>0</v>
      </c>
      <c r="R173" s="283" t="n">
        <f aca="false">R172+Q173</f>
        <v>0</v>
      </c>
      <c r="S173" s="283" t="n">
        <f aca="false">IF(Q173=0,0,R173)</f>
        <v>0</v>
      </c>
      <c r="T173" s="283" t="n">
        <f aca="false">IF(N173=1,1,0)</f>
        <v>0</v>
      </c>
      <c r="U173" s="283" t="n">
        <f aca="false">U172+T173</f>
        <v>53</v>
      </c>
      <c r="V173" s="283" t="n">
        <f aca="false">IF(T173=0,0,U173)</f>
        <v>0</v>
      </c>
    </row>
    <row r="174" customFormat="false" ht="52.2" hidden="false" customHeight="false" outlineLevel="0" collapsed="false">
      <c r="A174" s="311" t="str">
        <f aca="false">Questions!$A174</f>
        <v>PPPR-13</v>
      </c>
      <c r="B174" s="311" t="str">
        <f aca="false">LEFT(A174,4)</f>
        <v>PPPR</v>
      </c>
      <c r="C174" s="311" t="str">
        <f aca="false">VLOOKUP($A174,Questions!$A$3:$L$333,2,0)&amp;""</f>
        <v>Do you have process and procedure(s) documented, and currently followed, that require a review and update of the access list(s) for privileged accounts?</v>
      </c>
      <c r="D174" s="311" t="str">
        <f aca="false">VLOOKUP($A174,Questions!$A$3:$L$333,11,0)&amp;""</f>
        <v/>
      </c>
      <c r="E174" s="311" t="str">
        <f aca="false">VLOOKUP($A174,Questions!$A$3:$L$333,12,0)&amp;""</f>
        <v>Organization</v>
      </c>
      <c r="F174" s="311" t="str">
        <f aca="false">VLOOKUP($A174,'Institution Evaluation'!$A$56:$K$346,3,0)&amp;""</f>
        <v>No</v>
      </c>
      <c r="G174" s="311" t="str">
        <f aca="false">VLOOKUP($A174,'Institution Evaluation'!$A$56:$K$346,7,0)&amp;""</f>
        <v>Yes</v>
      </c>
      <c r="H174" s="311" t="str">
        <f aca="false">VLOOKUP($A174,'Institution Evaluation'!$A$56:$K$346,8,0)&amp;""</f>
        <v/>
      </c>
      <c r="I174" s="311" t="str">
        <f aca="false">VLOOKUP($A174,'Institution Evaluation'!$A$56:$K$346,9,0)&amp;""</f>
        <v>Minor Importance</v>
      </c>
      <c r="J174" s="311" t="str">
        <f aca="false">VLOOKUP($A174,'Institution Evaluation'!$A$56:$K$346,10,0)&amp;""</f>
        <v/>
      </c>
      <c r="K174" s="311" t="n">
        <f aca="false">IF($I174="Critical Importance",20,IF($I174="Minor Importance",5,10))</f>
        <v>5</v>
      </c>
      <c r="L174" s="283" t="n">
        <f aca="false">IF($E174="Not Scored", "N/A",IF(AND($D174='Auto Responses'!$J$27,$H174=""),"N/A",IF(AND($D174='Auto Responses'!$J$27,$H174='Auto Responses'!$J$7),1,IF(AND($D174='Auto Responses'!$J$27,$H174='Auto Responses'!$J$8),0,IF(OR($F174=$G174,$H174='Auto Responses'!$J$7),1,0)))))</f>
        <v>0</v>
      </c>
      <c r="M174" s="311" t="str">
        <f aca="false">VLOOKUP($A174,'Institution Evaluation'!$A$56:$K$346,10,0)&amp;""</f>
        <v/>
      </c>
      <c r="N174" s="311" t="n">
        <f aca="false">IF($J174="Critical Importance",1,IF(AND($J174="",$I174="Critical Importance"),1,0))</f>
        <v>0</v>
      </c>
      <c r="O174" s="283" t="n">
        <f aca="false">IF($E174="Not Scored","N/A",IF($J174="",$K174,IF($J174="Minor Importance",5,IF($J174="Standard Importance",10,IF($J174="Critical Importance",20,0)))))</f>
        <v>5</v>
      </c>
      <c r="P174" s="283" t="n">
        <f aca="false">IF(OR($O174="N/A",$L174="N/A"),"N/A",$O174*$L174)</f>
        <v>0</v>
      </c>
      <c r="Q174" s="283" t="n">
        <f aca="false">IF(M174="TRUE",1,0)</f>
        <v>0</v>
      </c>
      <c r="R174" s="283" t="n">
        <f aca="false">R173+Q174</f>
        <v>0</v>
      </c>
      <c r="S174" s="283" t="n">
        <f aca="false">IF(Q174=0,0,R174)</f>
        <v>0</v>
      </c>
      <c r="T174" s="283" t="n">
        <f aca="false">IF(N174=1,1,0)</f>
        <v>0</v>
      </c>
      <c r="U174" s="283" t="n">
        <f aca="false">U173+T174</f>
        <v>53</v>
      </c>
      <c r="V174" s="283" t="n">
        <f aca="false">IF(T174=0,0,U174)</f>
        <v>0</v>
      </c>
    </row>
    <row r="175" customFormat="false" ht="39.55" hidden="false" customHeight="false" outlineLevel="0" collapsed="false">
      <c r="A175" s="311" t="str">
        <f aca="false">Questions!$A175</f>
        <v>PPPR-14</v>
      </c>
      <c r="B175" s="311" t="str">
        <f aca="false">LEFT(A175,4)</f>
        <v>PPPR</v>
      </c>
      <c r="C175" s="311" t="str">
        <f aca="false">VLOOKUP($A175,Questions!$A$3:$L$333,2,0)&amp;""</f>
        <v>Do you have documented, and currently implemented, internal audit processes and procedures?</v>
      </c>
      <c r="D175" s="311" t="str">
        <f aca="false">VLOOKUP($A175,Questions!$A$3:$L$333,11,0)&amp;""</f>
        <v/>
      </c>
      <c r="E175" s="311" t="str">
        <f aca="false">VLOOKUP($A175,Questions!$A$3:$L$333,12,0)&amp;""</f>
        <v>Organization</v>
      </c>
      <c r="F175" s="311" t="str">
        <f aca="false">VLOOKUP($A175,'Institution Evaluation'!$A$56:$K$346,3,0)&amp;""</f>
        <v>No</v>
      </c>
      <c r="G175" s="311" t="str">
        <f aca="false">VLOOKUP($A175,'Institution Evaluation'!$A$56:$K$346,7,0)&amp;""</f>
        <v>Yes</v>
      </c>
      <c r="H175" s="311" t="str">
        <f aca="false">VLOOKUP($A175,'Institution Evaluation'!$A$56:$K$346,8,0)&amp;""</f>
        <v/>
      </c>
      <c r="I175" s="311" t="str">
        <f aca="false">VLOOKUP($A175,'Institution Evaluation'!$A$56:$K$346,9,0)&amp;""</f>
        <v>Minor Importance</v>
      </c>
      <c r="J175" s="311" t="str">
        <f aca="false">VLOOKUP($A175,'Institution Evaluation'!$A$56:$K$346,10,0)&amp;""</f>
        <v/>
      </c>
      <c r="K175" s="311" t="n">
        <f aca="false">IF($I175="Critical Importance",20,IF($I175="Minor Importance",5,10))</f>
        <v>5</v>
      </c>
      <c r="L175" s="283" t="n">
        <f aca="false">IF($E175="Not Scored", "N/A",IF(AND($D175='Auto Responses'!$J$27,$H175=""),"N/A",IF(AND($D175='Auto Responses'!$J$27,$H175='Auto Responses'!$J$7),1,IF(AND($D175='Auto Responses'!$J$27,$H175='Auto Responses'!$J$8),0,IF(OR($F175=$G175,$H175='Auto Responses'!$J$7),1,0)))))</f>
        <v>0</v>
      </c>
      <c r="M175" s="311" t="str">
        <f aca="false">VLOOKUP($A175,'Institution Evaluation'!$A$56:$K$346,10,0)&amp;""</f>
        <v/>
      </c>
      <c r="N175" s="311" t="n">
        <f aca="false">IF($J175="Critical Importance",1,IF(AND($J175="",$I175="Critical Importance"),1,0))</f>
        <v>0</v>
      </c>
      <c r="O175" s="283" t="n">
        <f aca="false">IF($E175="Not Scored","N/A",IF($J175="",$K175,IF($J175="Minor Importance",5,IF($J175="Standard Importance",10,IF($J175="Critical Importance",20,0)))))</f>
        <v>5</v>
      </c>
      <c r="P175" s="283" t="n">
        <f aca="false">IF(OR($O175="N/A",$L175="N/A"),"N/A",$O175*$L175)</f>
        <v>0</v>
      </c>
      <c r="Q175" s="283" t="n">
        <f aca="false">IF(M175="TRUE",1,0)</f>
        <v>0</v>
      </c>
      <c r="R175" s="283" t="n">
        <f aca="false">R174+Q175</f>
        <v>0</v>
      </c>
      <c r="S175" s="283" t="n">
        <f aca="false">IF(Q175=0,0,R175)</f>
        <v>0</v>
      </c>
      <c r="T175" s="283" t="n">
        <f aca="false">IF(N175=1,1,0)</f>
        <v>0</v>
      </c>
      <c r="U175" s="283" t="n">
        <f aca="false">U174+T175</f>
        <v>53</v>
      </c>
      <c r="V175" s="283" t="n">
        <f aca="false">IF(T175=0,0,U175)</f>
        <v>0</v>
      </c>
    </row>
    <row r="176" customFormat="false" ht="26.85" hidden="false" customHeight="false" outlineLevel="0" collapsed="false">
      <c r="A176" s="311" t="str">
        <f aca="false">Questions!$A176</f>
        <v>PPPR-15</v>
      </c>
      <c r="B176" s="311" t="str">
        <f aca="false">LEFT(A176,4)</f>
        <v>PPPR</v>
      </c>
      <c r="C176" s="311" t="str">
        <f aca="false">VLOOKUP($A176,Questions!$A$3:$L$333,2,0)&amp;""</f>
        <v>Does your organization have physical security controls and policies in place?</v>
      </c>
      <c r="D176" s="311" t="str">
        <f aca="false">VLOOKUP($A176,Questions!$A$3:$L$333,11,0)&amp;""</f>
        <v/>
      </c>
      <c r="E176" s="311" t="str">
        <f aca="false">VLOOKUP($A176,Questions!$A$3:$L$333,12,0)&amp;""</f>
        <v>Organization</v>
      </c>
      <c r="F176" s="311" t="str">
        <f aca="false">VLOOKUP($A176,'Institution Evaluation'!$A$56:$K$346,3,0)&amp;""</f>
        <v>No</v>
      </c>
      <c r="G176" s="311" t="str">
        <f aca="false">VLOOKUP($A176,'Institution Evaluation'!$A$56:$K$346,7,0)&amp;""</f>
        <v>Yes</v>
      </c>
      <c r="H176" s="311" t="str">
        <f aca="false">VLOOKUP($A176,'Institution Evaluation'!$A$56:$K$346,8,0)&amp;""</f>
        <v/>
      </c>
      <c r="I176" s="311" t="str">
        <f aca="false">VLOOKUP($A176,'Institution Evaluation'!$A$56:$K$346,9,0)&amp;""</f>
        <v>Minor Importance</v>
      </c>
      <c r="J176" s="311" t="str">
        <f aca="false">VLOOKUP($A176,'Institution Evaluation'!$A$56:$K$346,10,0)&amp;""</f>
        <v/>
      </c>
      <c r="K176" s="311" t="n">
        <f aca="false">IF($I176="Critical Importance",20,IF($I176="Minor Importance",5,10))</f>
        <v>5</v>
      </c>
      <c r="L176" s="283" t="n">
        <f aca="false">IF($E176="Not Scored", "N/A",IF(AND($D176='Auto Responses'!$J$27,$H176=""),"N/A",IF(AND($D176='Auto Responses'!$J$27,$H176='Auto Responses'!$J$7),1,IF(AND($D176='Auto Responses'!$J$27,$H176='Auto Responses'!$J$8),0,IF(OR($F176=$G176,$H176='Auto Responses'!$J$7),1,0)))))</f>
        <v>0</v>
      </c>
      <c r="M176" s="311" t="str">
        <f aca="false">VLOOKUP($A176,'Institution Evaluation'!$A$56:$K$346,10,0)&amp;""</f>
        <v/>
      </c>
      <c r="N176" s="311" t="n">
        <f aca="false">IF($J176="Critical Importance",1,IF(AND($J176="",$I176="Critical Importance"),1,0))</f>
        <v>0</v>
      </c>
      <c r="O176" s="283" t="n">
        <f aca="false">IF(OR($E176="Not Scored",$F176="N/A"),"N/A",IF($J176="",$K176,IF($J176="Minor Importance",5,IF($J176="Standard Importance",10,IF($J176="Critical Importance",20,0)))))</f>
        <v>5</v>
      </c>
      <c r="P176" s="283" t="n">
        <f aca="false">IF(OR($O176="N/A",$L176="N/A"),"N/A",$O176*$L176)</f>
        <v>0</v>
      </c>
      <c r="Q176" s="283" t="n">
        <f aca="false">IF(M176="TRUE",1,0)</f>
        <v>0</v>
      </c>
      <c r="R176" s="283" t="n">
        <f aca="false">R175+Q176</f>
        <v>0</v>
      </c>
      <c r="S176" s="283" t="n">
        <f aca="false">IF(Q176=0,0,R176)</f>
        <v>0</v>
      </c>
      <c r="T176" s="283" t="n">
        <f aca="false">IF(N176=1,1,0)</f>
        <v>0</v>
      </c>
      <c r="U176" s="283" t="n">
        <f aca="false">U175+T176</f>
        <v>53</v>
      </c>
      <c r="V176" s="283" t="n">
        <f aca="false">IF(T176=0,0,U176)</f>
        <v>0</v>
      </c>
    </row>
    <row r="177" customFormat="false" ht="26.85" hidden="false" customHeight="false" outlineLevel="0" collapsed="false">
      <c r="A177" s="311" t="str">
        <f aca="false">Questions!$A177</f>
        <v>HFIH-01</v>
      </c>
      <c r="B177" s="311" t="str">
        <f aca="false">LEFT(A177,4)</f>
        <v>HFIH</v>
      </c>
      <c r="C177" s="311" t="str">
        <f aca="false">VLOOKUP($A177,Questions!$A$3:$L$333,2,0)&amp;""</f>
        <v>Do you have a formal incident response plan?</v>
      </c>
      <c r="D177" s="311" t="str">
        <f aca="false">VLOOKUP($A177,Questions!$A$3:$L$333,11,0)&amp;""</f>
        <v/>
      </c>
      <c r="E177" s="311" t="str">
        <f aca="false">VLOOKUP($A177,Questions!$A$3:$L$333,12,0)&amp;""</f>
        <v>Infrastructure</v>
      </c>
      <c r="F177" s="311" t="str">
        <f aca="false">VLOOKUP($A177,'Institution Evaluation'!$A$56:$K$346,3,0)&amp;""</f>
        <v/>
      </c>
      <c r="G177" s="311" t="str">
        <f aca="false">VLOOKUP($A177,'Institution Evaluation'!$A$56:$K$346,7,0)&amp;""</f>
        <v>Yes</v>
      </c>
      <c r="H177" s="311" t="str">
        <f aca="false">VLOOKUP($A177,'Institution Evaluation'!$A$56:$K$346,8,0)&amp;""</f>
        <v/>
      </c>
      <c r="I177" s="311" t="str">
        <f aca="false">VLOOKUP($A177,'Institution Evaluation'!$A$56:$K$346,9,0)&amp;""</f>
        <v>Standard Importance</v>
      </c>
      <c r="J177" s="311" t="str">
        <f aca="false">VLOOKUP($A177,'Institution Evaluation'!$A$56:$K$346,10,0)&amp;""</f>
        <v/>
      </c>
      <c r="K177" s="311" t="n">
        <f aca="false">IF($I177="Critical Importance",20,IF($I177="Minor Importance",5,10))</f>
        <v>10</v>
      </c>
      <c r="L177" s="283" t="n">
        <f aca="false">IF($E177="Not Scored", "N/A",IF(AND($D177='Auto Responses'!$J$27,$H177=""),"N/A",IF(AND($D177='Auto Responses'!$J$27,$H177='Auto Responses'!$J$7),1,IF(AND($D177='Auto Responses'!$J$27,$H177='Auto Responses'!$J$8),0,IF(OR($F177=$G177,$H177='Auto Responses'!$J$7),1,0)))))</f>
        <v>0</v>
      </c>
      <c r="M177" s="311" t="str">
        <f aca="false">VLOOKUP($A177,'Institution Evaluation'!$A$56:$K$346,10,0)&amp;""</f>
        <v/>
      </c>
      <c r="N177" s="311" t="n">
        <f aca="false">IF($J177="Critical Importance",1,IF(AND($J177="",$I177="Critical Importance"),1,0))</f>
        <v>0</v>
      </c>
      <c r="O177" s="283" t="str">
        <f aca="false">IF(OR($F$17="No",$E177="Not Scored"),"N/A",IF($J177="",$K177,IF($J177="Minor Importance",5,IF($J177="Standard Importance",10,IF($J177="Critical Importance",20,0)))))</f>
        <v>N/A</v>
      </c>
      <c r="P177" s="283" t="str">
        <f aca="false">IF(OR($O177="N/A",$L177="N/A"),"N/A",$O177*$L177)</f>
        <v>N/A</v>
      </c>
      <c r="Q177" s="283" t="n">
        <f aca="false">IF(M177="TRUE",1,0)</f>
        <v>0</v>
      </c>
      <c r="R177" s="283" t="n">
        <f aca="false">R176+Q177</f>
        <v>0</v>
      </c>
      <c r="S177" s="283" t="n">
        <f aca="false">IF(Q177=0,0,R177)</f>
        <v>0</v>
      </c>
      <c r="T177" s="283" t="n">
        <f aca="false">IF(N177=1,1,0)</f>
        <v>0</v>
      </c>
      <c r="U177" s="283" t="n">
        <f aca="false">U176+T177</f>
        <v>53</v>
      </c>
      <c r="V177" s="283" t="n">
        <f aca="false">IF(T177=0,0,U177)</f>
        <v>0</v>
      </c>
    </row>
    <row r="178" customFormat="false" ht="26.85" hidden="false" customHeight="false" outlineLevel="0" collapsed="false">
      <c r="A178" s="311" t="str">
        <f aca="false">Questions!$A178</f>
        <v>HFIH-02</v>
      </c>
      <c r="B178" s="311" t="str">
        <f aca="false">LEFT(A178,4)</f>
        <v>HFIH</v>
      </c>
      <c r="C178" s="311" t="str">
        <f aca="false">VLOOKUP($A178,Questions!$A$3:$L$333,2,0)&amp;""</f>
        <v>Do you either have an internal incident response team or retain an external team?</v>
      </c>
      <c r="D178" s="311" t="str">
        <f aca="false">VLOOKUP($A178,Questions!$A$3:$L$333,11,0)&amp;""</f>
        <v/>
      </c>
      <c r="E178" s="311" t="str">
        <f aca="false">VLOOKUP($A178,Questions!$A$3:$L$333,12,0)&amp;""</f>
        <v>Infrastructure</v>
      </c>
      <c r="F178" s="311" t="str">
        <f aca="false">VLOOKUP($A178,'Institution Evaluation'!$A$56:$K$346,3,0)&amp;""</f>
        <v/>
      </c>
      <c r="G178" s="311" t="str">
        <f aca="false">VLOOKUP($A178,'Institution Evaluation'!$A$56:$K$346,7,0)&amp;""</f>
        <v>Yes</v>
      </c>
      <c r="H178" s="311" t="str">
        <f aca="false">VLOOKUP($A178,'Institution Evaluation'!$A$56:$K$346,8,0)&amp;""</f>
        <v/>
      </c>
      <c r="I178" s="311" t="str">
        <f aca="false">VLOOKUP($A178,'Institution Evaluation'!$A$56:$K$346,9,0)&amp;""</f>
        <v>Minor Importance</v>
      </c>
      <c r="J178" s="311" t="str">
        <f aca="false">VLOOKUP($A178,'Institution Evaluation'!$A$56:$K$346,10,0)&amp;""</f>
        <v/>
      </c>
      <c r="K178" s="311" t="n">
        <f aca="false">IF($I178="Critical Importance",20,IF($I178="Minor Importance",5,10))</f>
        <v>5</v>
      </c>
      <c r="L178" s="283" t="n">
        <f aca="false">IF($E178="Not Scored", "N/A",IF(AND($D178='Auto Responses'!$J$27,$H178=""),"N/A",IF(AND($D178='Auto Responses'!$J$27,$H178='Auto Responses'!$J$7),1,IF(AND($D178='Auto Responses'!$J$27,$H178='Auto Responses'!$J$8),0,IF(OR($F178=$G178,$H178='Auto Responses'!$J$7),1,0)))))</f>
        <v>0</v>
      </c>
      <c r="M178" s="311" t="str">
        <f aca="false">VLOOKUP($A178,'Institution Evaluation'!$A$56:$K$346,10,0)&amp;""</f>
        <v/>
      </c>
      <c r="N178" s="311" t="n">
        <f aca="false">IF($J178="Critical Importance",1,IF(AND($J178="",$I178="Critical Importance"),1,0))</f>
        <v>0</v>
      </c>
      <c r="O178" s="283" t="str">
        <f aca="false">IF(OR($F$17="No",$E178="Not Scored"),"N/A",IF($J178="",$K178,IF($J178="Minor Importance",5,IF($J178="Standard Importance",10,IF($J178="Critical Importance",20,0)))))</f>
        <v>N/A</v>
      </c>
      <c r="P178" s="283" t="str">
        <f aca="false">IF(OR($O178="N/A",$L178="N/A"),"N/A",$O178*$L178)</f>
        <v>N/A</v>
      </c>
      <c r="Q178" s="283" t="n">
        <f aca="false">IF(M178="TRUE",1,0)</f>
        <v>0</v>
      </c>
      <c r="R178" s="283" t="n">
        <f aca="false">R177+Q178</f>
        <v>0</v>
      </c>
      <c r="S178" s="283" t="n">
        <f aca="false">IF(Q178=0,0,R178)</f>
        <v>0</v>
      </c>
      <c r="T178" s="283" t="n">
        <f aca="false">IF(N178=1,1,0)</f>
        <v>0</v>
      </c>
      <c r="U178" s="283" t="n">
        <f aca="false">U177+T178</f>
        <v>53</v>
      </c>
      <c r="V178" s="283" t="n">
        <f aca="false">IF(T178=0,0,U178)</f>
        <v>0</v>
      </c>
    </row>
    <row r="179" customFormat="false" ht="26.85" hidden="false" customHeight="false" outlineLevel="0" collapsed="false">
      <c r="A179" s="311" t="str">
        <f aca="false">Questions!$A179</f>
        <v>HFIH-03</v>
      </c>
      <c r="B179" s="311" t="str">
        <f aca="false">LEFT(A179,4)</f>
        <v>HFIH</v>
      </c>
      <c r="C179" s="311" t="str">
        <f aca="false">VLOOKUP($A179,Questions!$A$3:$L$333,2,0)&amp;""</f>
        <v>Do you have the capability to respond to incidents on a 24 x 7 x 365 basis?</v>
      </c>
      <c r="D179" s="311" t="str">
        <f aca="false">VLOOKUP($A179,Questions!$A$3:$L$333,11,0)&amp;""</f>
        <v/>
      </c>
      <c r="E179" s="311" t="str">
        <f aca="false">VLOOKUP($A179,Questions!$A$3:$L$333,12,0)&amp;""</f>
        <v>Infrastructure</v>
      </c>
      <c r="F179" s="311" t="str">
        <f aca="false">VLOOKUP($A179,'Institution Evaluation'!$A$56:$K$346,3,0)&amp;""</f>
        <v/>
      </c>
      <c r="G179" s="311" t="str">
        <f aca="false">VLOOKUP($A179,'Institution Evaluation'!$A$56:$K$346,7,0)&amp;""</f>
        <v>Yes</v>
      </c>
      <c r="H179" s="311" t="str">
        <f aca="false">VLOOKUP($A179,'Institution Evaluation'!$A$56:$K$346,8,0)&amp;""</f>
        <v/>
      </c>
      <c r="I179" s="311" t="str">
        <f aca="false">VLOOKUP($A179,'Institution Evaluation'!$A$56:$K$346,9,0)&amp;""</f>
        <v>Minor Importance</v>
      </c>
      <c r="J179" s="311" t="str">
        <f aca="false">VLOOKUP($A179,'Institution Evaluation'!$A$56:$K$346,10,0)&amp;""</f>
        <v/>
      </c>
      <c r="K179" s="311" t="n">
        <f aca="false">IF($I179="Critical Importance",20,IF($I179="Minor Importance",5,10))</f>
        <v>5</v>
      </c>
      <c r="L179" s="283" t="n">
        <f aca="false">IF($E179="Not Scored", "N/A",IF(AND($D179='Auto Responses'!$J$27,$H179=""),"N/A",IF(AND($D179='Auto Responses'!$J$27,$H179='Auto Responses'!$J$7),1,IF(AND($D179='Auto Responses'!$J$27,$H179='Auto Responses'!$J$8),0,IF(OR($F179=$G179,$H179='Auto Responses'!$J$7),1,0)))))</f>
        <v>0</v>
      </c>
      <c r="M179" s="311" t="str">
        <f aca="false">VLOOKUP($A179,'Institution Evaluation'!$A$56:$K$346,10,0)&amp;""</f>
        <v/>
      </c>
      <c r="N179" s="311" t="n">
        <f aca="false">IF($J179="Critical Importance",1,IF(AND($J179="",$I179="Critical Importance"),1,0))</f>
        <v>0</v>
      </c>
      <c r="O179" s="283" t="str">
        <f aca="false">IF(OR($F$17="No",$E179="Not Scored"),"N/A",IF($J179="",$K179,IF($J179="Minor Importance",5,IF($J179="Standard Importance",10,IF($J179="Critical Importance",20,0)))))</f>
        <v>N/A</v>
      </c>
      <c r="P179" s="283" t="str">
        <f aca="false">IF(OR($O179="N/A",$L179="N/A"),"N/A",$O179*$L179)</f>
        <v>N/A</v>
      </c>
      <c r="Q179" s="283" t="n">
        <f aca="false">IF(M179="TRUE",1,0)</f>
        <v>0</v>
      </c>
      <c r="R179" s="283" t="n">
        <f aca="false">R178+Q179</f>
        <v>0</v>
      </c>
      <c r="S179" s="283" t="n">
        <f aca="false">IF(Q179=0,0,R179)</f>
        <v>0</v>
      </c>
      <c r="T179" s="283" t="n">
        <f aca="false">IF(N179=1,1,0)</f>
        <v>0</v>
      </c>
      <c r="U179" s="283" t="n">
        <f aca="false">U178+T179</f>
        <v>53</v>
      </c>
      <c r="V179" s="283" t="n">
        <f aca="false">IF(T179=0,0,U179)</f>
        <v>0</v>
      </c>
    </row>
    <row r="180" customFormat="false" ht="39.55" hidden="false" customHeight="false" outlineLevel="0" collapsed="false">
      <c r="A180" s="311" t="str">
        <f aca="false">Questions!$A180</f>
        <v>HFIH-04</v>
      </c>
      <c r="B180" s="311" t="str">
        <f aca="false">LEFT(A180,4)</f>
        <v>HFIH</v>
      </c>
      <c r="C180" s="311" t="str">
        <f aca="false">VLOOKUP($A180,Questions!$A$3:$L$333,2,0)&amp;""</f>
        <v>Do you carry cyber-risk insurance to protect against unforeseen service outages, data that is lost or stolen, and security incidents?</v>
      </c>
      <c r="D180" s="311" t="str">
        <f aca="false">VLOOKUP($A180,Questions!$A$3:$L$333,11,0)&amp;""</f>
        <v/>
      </c>
      <c r="E180" s="311" t="str">
        <f aca="false">VLOOKUP($A180,Questions!$A$3:$L$333,12,0)&amp;""</f>
        <v>Infrastructure</v>
      </c>
      <c r="F180" s="311" t="str">
        <f aca="false">VLOOKUP($A180,'Institution Evaluation'!$A$56:$K$346,3,0)&amp;""</f>
        <v/>
      </c>
      <c r="G180" s="311" t="str">
        <f aca="false">VLOOKUP($A180,'Institution Evaluation'!$A$56:$K$346,7,0)&amp;""</f>
        <v>Yes</v>
      </c>
      <c r="H180" s="311" t="str">
        <f aca="false">VLOOKUP($A180,'Institution Evaluation'!$A$56:$K$346,8,0)&amp;""</f>
        <v/>
      </c>
      <c r="I180" s="311" t="str">
        <f aca="false">VLOOKUP($A180,'Institution Evaluation'!$A$56:$K$346,9,0)&amp;""</f>
        <v>Minor Importance</v>
      </c>
      <c r="J180" s="311" t="str">
        <f aca="false">VLOOKUP($A180,'Institution Evaluation'!$A$56:$K$346,10,0)&amp;""</f>
        <v/>
      </c>
      <c r="K180" s="311" t="n">
        <f aca="false">IF($I180="Critical Importance",20,IF($I180="Minor Importance",5,10))</f>
        <v>5</v>
      </c>
      <c r="L180" s="283" t="n">
        <f aca="false">IF($E180="Not Scored", "N/A",IF(AND($D180='Auto Responses'!$J$27,$H180=""),"N/A",IF(AND($D180='Auto Responses'!$J$27,$H180='Auto Responses'!$J$7),1,IF(AND($D180='Auto Responses'!$J$27,$H180='Auto Responses'!$J$8),0,IF(OR($F180=$G180,$H180='Auto Responses'!$J$7),1,0)))))</f>
        <v>0</v>
      </c>
      <c r="M180" s="311" t="str">
        <f aca="false">VLOOKUP($A180,'Institution Evaluation'!$A$56:$K$346,10,0)&amp;""</f>
        <v/>
      </c>
      <c r="N180" s="311" t="n">
        <f aca="false">IF($J180="Critical Importance",1,IF(AND($J180="",$I180="Critical Importance"),1,0))</f>
        <v>0</v>
      </c>
      <c r="O180" s="283" t="str">
        <f aca="false">IF(OR($F$17="No",$E180="Not Scored"),"N/A",IF($J180="",$K180,IF($J180="Minor Importance",5,IF($J180="Standard Importance",10,IF($J180="Critical Importance",20,0)))))</f>
        <v>N/A</v>
      </c>
      <c r="P180" s="283" t="str">
        <f aca="false">IF(OR($O180="N/A",$L180="N/A"),"N/A",$O180*$L180)</f>
        <v>N/A</v>
      </c>
      <c r="Q180" s="283" t="n">
        <f aca="false">IF(M180="TRUE",1,0)</f>
        <v>0</v>
      </c>
      <c r="R180" s="283" t="n">
        <f aca="false">R179+Q180</f>
        <v>0</v>
      </c>
      <c r="S180" s="283" t="n">
        <f aca="false">IF(Q180=0,0,R180)</f>
        <v>0</v>
      </c>
      <c r="T180" s="283" t="n">
        <f aca="false">IF(N180=1,1,0)</f>
        <v>0</v>
      </c>
      <c r="U180" s="283" t="n">
        <f aca="false">U179+T180</f>
        <v>53</v>
      </c>
      <c r="V180" s="283" t="n">
        <f aca="false">IF(T180=0,0,U180)</f>
        <v>0</v>
      </c>
    </row>
    <row r="181" customFormat="false" ht="52.2" hidden="false" customHeight="false" outlineLevel="0" collapsed="false">
      <c r="A181" s="311" t="str">
        <f aca="false">Questions!$A181</f>
        <v>VULN-01</v>
      </c>
      <c r="B181" s="311" t="str">
        <f aca="false">LEFT(A181,4)</f>
        <v>VULN</v>
      </c>
      <c r="C181" s="311" t="str">
        <f aca="false">VLOOKUP($A181,Questions!$A$3:$L$333,2,0)&amp;""</f>
        <v>Are your systems and applications scanned with an authenticated user account for vulnerabilities (that are remediated) prior to new releases?*</v>
      </c>
      <c r="D181" s="311" t="str">
        <f aca="false">VLOOKUP($A181,Questions!$A$3:$L$333,11,0)&amp;""</f>
        <v/>
      </c>
      <c r="E181" s="311" t="str">
        <f aca="false">VLOOKUP($A181,Questions!$A$3:$L$333,12,0)&amp;""</f>
        <v>Infrastructure</v>
      </c>
      <c r="F181" s="311" t="str">
        <f aca="false">VLOOKUP($A181,'Institution Evaluation'!$A$56:$K$346,3,0)&amp;""</f>
        <v/>
      </c>
      <c r="G181" s="311" t="str">
        <f aca="false">VLOOKUP($A181,'Institution Evaluation'!$A$56:$K$346,7,0)&amp;""</f>
        <v>Yes</v>
      </c>
      <c r="H181" s="311" t="str">
        <f aca="false">VLOOKUP($A181,'Institution Evaluation'!$A$56:$K$346,8,0)&amp;""</f>
        <v/>
      </c>
      <c r="I181" s="311" t="str">
        <f aca="false">VLOOKUP($A181,'Institution Evaluation'!$A$56:$K$346,9,0)&amp;""</f>
        <v>Critical Importance</v>
      </c>
      <c r="J181" s="311" t="str">
        <f aca="false">VLOOKUP($A181,'Institution Evaluation'!$A$56:$K$346,10,0)&amp;""</f>
        <v/>
      </c>
      <c r="K181" s="311" t="n">
        <f aca="false">IF($I181="Critical Importance",20,IF($I181="Minor Importance",5,10))</f>
        <v>20</v>
      </c>
      <c r="L181" s="283" t="n">
        <f aca="false">IF($E181="Not Scored", "N/A",IF(AND($D181='Auto Responses'!$J$27,$H181=""),"N/A",IF(AND($D181='Auto Responses'!$J$27,$H181='Auto Responses'!$J$7),1,IF(AND($D181='Auto Responses'!$J$27,$H181='Auto Responses'!$J$8),0,IF(OR($F181=$G181,$H181='Auto Responses'!$J$7),1,0)))))</f>
        <v>0</v>
      </c>
      <c r="M181" s="311" t="str">
        <f aca="false">VLOOKUP($A181,'Institution Evaluation'!$A$56:$K$346,10,0)&amp;""</f>
        <v/>
      </c>
      <c r="N181" s="311" t="n">
        <f aca="false">IF($J181="Critical Importance",1,IF(AND($J181="",$I181="Critical Importance"),1,0))</f>
        <v>1</v>
      </c>
      <c r="O181" s="283" t="str">
        <f aca="false">IF(OR($F$17="No",$E181="Not Scored"),"N/A",IF($J181="",$K181,IF($J181="Minor Importance",5,IF($J181="Standard Importance",10,IF($J181="Critical Importance",20,0)))))</f>
        <v>N/A</v>
      </c>
      <c r="P181" s="283" t="str">
        <f aca="false">IF(OR($O181="N/A",$L181="N/A"),"N/A",$O181*$L181)</f>
        <v>N/A</v>
      </c>
      <c r="Q181" s="283" t="n">
        <f aca="false">IF(M181="TRUE",1,0)</f>
        <v>0</v>
      </c>
      <c r="R181" s="283" t="n">
        <f aca="false">R180+Q181</f>
        <v>0</v>
      </c>
      <c r="S181" s="283" t="n">
        <f aca="false">IF(Q181=0,0,R181)</f>
        <v>0</v>
      </c>
      <c r="T181" s="283" t="n">
        <f aca="false">IF(N181=1,1,0)</f>
        <v>1</v>
      </c>
      <c r="U181" s="283" t="n">
        <f aca="false">U180+T181</f>
        <v>54</v>
      </c>
      <c r="V181" s="283" t="n">
        <f aca="false">IF(T181=0,0,U181)</f>
        <v>54</v>
      </c>
    </row>
    <row r="182" customFormat="false" ht="26.85" hidden="false" customHeight="false" outlineLevel="0" collapsed="false">
      <c r="A182" s="311" t="str">
        <f aca="false">Questions!$A182</f>
        <v>VULN-02</v>
      </c>
      <c r="B182" s="311" t="str">
        <f aca="false">LEFT(A182,4)</f>
        <v>VULN</v>
      </c>
      <c r="C182" s="311" t="str">
        <f aca="false">VLOOKUP($A182,Questions!$A$3:$L$333,2,0)&amp;""</f>
        <v>Will you provide results of application and system vulnerability scans to the institution?*</v>
      </c>
      <c r="D182" s="311" t="str">
        <f aca="false">VLOOKUP($A182,Questions!$A$3:$L$333,11,0)&amp;""</f>
        <v/>
      </c>
      <c r="E182" s="311" t="str">
        <f aca="false">VLOOKUP($A182,Questions!$A$3:$L$333,12,0)&amp;""</f>
        <v>Infrastructure</v>
      </c>
      <c r="F182" s="311" t="str">
        <f aca="false">VLOOKUP($A182,'Institution Evaluation'!$A$56:$K$346,3,0)&amp;""</f>
        <v/>
      </c>
      <c r="G182" s="311" t="str">
        <f aca="false">VLOOKUP($A182,'Institution Evaluation'!$A$56:$K$346,7,0)&amp;""</f>
        <v>Yes</v>
      </c>
      <c r="H182" s="311" t="str">
        <f aca="false">VLOOKUP($A182,'Institution Evaluation'!$A$56:$K$346,8,0)&amp;""</f>
        <v/>
      </c>
      <c r="I182" s="311" t="str">
        <f aca="false">VLOOKUP($A182,'Institution Evaluation'!$A$56:$K$346,9,0)&amp;""</f>
        <v>Critical Importance</v>
      </c>
      <c r="J182" s="311" t="str">
        <f aca="false">VLOOKUP($A182,'Institution Evaluation'!$A$56:$K$346,10,0)&amp;""</f>
        <v/>
      </c>
      <c r="K182" s="311" t="n">
        <f aca="false">IF($I182="Critical Importance",20,IF($I182="Minor Importance",5,10))</f>
        <v>20</v>
      </c>
      <c r="L182" s="283" t="n">
        <f aca="false">IF($E182="Not Scored", "N/A",IF(AND($D182='Auto Responses'!$J$27,$H182=""),"N/A",IF(AND($D182='Auto Responses'!$J$27,$H182='Auto Responses'!$J$7),1,IF(AND($D182='Auto Responses'!$J$27,$H182='Auto Responses'!$J$8),0,IF(OR($F182=$G182,$H182='Auto Responses'!$J$7),1,0)))))</f>
        <v>0</v>
      </c>
      <c r="M182" s="311" t="str">
        <f aca="false">VLOOKUP($A182,'Institution Evaluation'!$A$56:$K$346,10,0)&amp;""</f>
        <v/>
      </c>
      <c r="N182" s="311" t="n">
        <f aca="false">IF($J182="Critical Importance",1,IF(AND($J182="",$I182="Critical Importance"),1,0))</f>
        <v>1</v>
      </c>
      <c r="O182" s="283" t="str">
        <f aca="false">IF(OR($F$17="No",$E182="Not Scored"),"N/A",IF($J182="",$K182,IF($J182="Minor Importance",5,IF($J182="Standard Importance",10,IF($J182="Critical Importance",20,0)))))</f>
        <v>N/A</v>
      </c>
      <c r="P182" s="283" t="str">
        <f aca="false">IF(OR($O182="N/A",$L182="N/A"),"N/A",$O182*$L182)</f>
        <v>N/A</v>
      </c>
      <c r="Q182" s="283" t="n">
        <f aca="false">IF(M182="TRUE",1,0)</f>
        <v>0</v>
      </c>
      <c r="R182" s="283" t="n">
        <f aca="false">R181+Q182</f>
        <v>0</v>
      </c>
      <c r="S182" s="283" t="n">
        <f aca="false">IF(Q182=0,0,R182)</f>
        <v>0</v>
      </c>
      <c r="T182" s="283" t="n">
        <f aca="false">IF(N182=1,1,0)</f>
        <v>1</v>
      </c>
      <c r="U182" s="283" t="n">
        <f aca="false">U181+T182</f>
        <v>55</v>
      </c>
      <c r="V182" s="283" t="n">
        <f aca="false">IF(T182=0,0,U182)</f>
        <v>55</v>
      </c>
    </row>
    <row r="183" customFormat="false" ht="64.9" hidden="false" customHeight="false" outlineLevel="0" collapsed="false">
      <c r="A183" s="311" t="str">
        <f aca="false">Questions!$A183</f>
        <v>VULN-03</v>
      </c>
      <c r="B183" s="311" t="str">
        <f aca="false">LEFT(A183,4)</f>
        <v>VULN</v>
      </c>
      <c r="C183" s="311" t="str">
        <f aca="false">VLOOKUP($A183,Questions!$A$3:$L$333,2,0)&amp;""</f>
        <v>Will you allow the institution to perform its own vulnerability testing and/or scanning of your systems and/or application, provided that testing is performed at a mutually agreed upon time and date?*</v>
      </c>
      <c r="D183" s="311" t="str">
        <f aca="false">VLOOKUP($A183,Questions!$A$3:$L$333,11,0)&amp;""</f>
        <v/>
      </c>
      <c r="E183" s="311" t="str">
        <f aca="false">VLOOKUP($A183,Questions!$A$3:$L$333,12,0)&amp;""</f>
        <v>Infrastructure</v>
      </c>
      <c r="F183" s="311" t="str">
        <f aca="false">VLOOKUP($A183,'Institution Evaluation'!$A$56:$K$346,3,0)&amp;""</f>
        <v/>
      </c>
      <c r="G183" s="311" t="str">
        <f aca="false">VLOOKUP($A183,'Institution Evaluation'!$A$56:$K$346,7,0)&amp;""</f>
        <v>Yes</v>
      </c>
      <c r="H183" s="311" t="str">
        <f aca="false">VLOOKUP($A183,'Institution Evaluation'!$A$56:$K$346,8,0)&amp;""</f>
        <v/>
      </c>
      <c r="I183" s="311" t="str">
        <f aca="false">VLOOKUP($A183,'Institution Evaluation'!$A$56:$K$346,9,0)&amp;""</f>
        <v>Critical Importance</v>
      </c>
      <c r="J183" s="311" t="str">
        <f aca="false">VLOOKUP($A183,'Institution Evaluation'!$A$56:$K$346,10,0)&amp;""</f>
        <v/>
      </c>
      <c r="K183" s="311" t="n">
        <f aca="false">IF($I183="Critical Importance",20,IF($I183="Minor Importance",5,10))</f>
        <v>20</v>
      </c>
      <c r="L183" s="283" t="n">
        <f aca="false">IF($E183="Not Scored", "N/A",IF(AND($D183='Auto Responses'!$J$27,$H183=""),"N/A",IF(AND($D183='Auto Responses'!$J$27,$H183='Auto Responses'!$J$7),1,IF(AND($D183='Auto Responses'!$J$27,$H183='Auto Responses'!$J$8),0,IF(OR($F183=$G183,$H183='Auto Responses'!$J$7),1,0)))))</f>
        <v>0</v>
      </c>
      <c r="M183" s="311" t="str">
        <f aca="false">VLOOKUP($A183,'Institution Evaluation'!$A$56:$K$346,10,0)&amp;""</f>
        <v/>
      </c>
      <c r="N183" s="311" t="n">
        <f aca="false">IF($J183="Critical Importance",1,IF(AND($J183="",$I183="Critical Importance"),1,0))</f>
        <v>1</v>
      </c>
      <c r="O183" s="283" t="str">
        <f aca="false">IF(OR($F$17="No",$E183="Not Scored"),"N/A",IF($J183="",$K183,IF($J183="Minor Importance",5,IF($J183="Standard Importance",10,IF($J183="Critical Importance",20,0)))))</f>
        <v>N/A</v>
      </c>
      <c r="P183" s="283" t="str">
        <f aca="false">IF(OR($O183="N/A",$L183="N/A"),"N/A",$O183*$L183)</f>
        <v>N/A</v>
      </c>
      <c r="Q183" s="283" t="n">
        <f aca="false">IF(M183="TRUE",1,0)</f>
        <v>0</v>
      </c>
      <c r="R183" s="283" t="n">
        <f aca="false">R182+Q183</f>
        <v>0</v>
      </c>
      <c r="S183" s="283" t="n">
        <f aca="false">IF(Q183=0,0,R183)</f>
        <v>0</v>
      </c>
      <c r="T183" s="283" t="n">
        <f aca="false">IF(N183=1,1,0)</f>
        <v>1</v>
      </c>
      <c r="U183" s="283" t="n">
        <f aca="false">U182+T183</f>
        <v>56</v>
      </c>
      <c r="V183" s="283" t="n">
        <f aca="false">IF(T183=0,0,U183)</f>
        <v>56</v>
      </c>
    </row>
    <row r="184" customFormat="false" ht="39.55" hidden="false" customHeight="false" outlineLevel="0" collapsed="false">
      <c r="A184" s="311" t="str">
        <f aca="false">Questions!$A184</f>
        <v>VULN-04</v>
      </c>
      <c r="B184" s="311" t="str">
        <f aca="false">LEFT(A184,4)</f>
        <v>VULN</v>
      </c>
      <c r="C184" s="311" t="str">
        <f aca="false">VLOOKUP($A184,Questions!$A$3:$L$333,2,0)&amp;""</f>
        <v>Have your systems and applications had a third-party security assessment completed in the last year?</v>
      </c>
      <c r="D184" s="311" t="str">
        <f aca="false">VLOOKUP($A184,Questions!$A$3:$L$333,11,0)&amp;""</f>
        <v/>
      </c>
      <c r="E184" s="311" t="str">
        <f aca="false">VLOOKUP($A184,Questions!$A$3:$L$333,12,0)&amp;""</f>
        <v>Infrastructure</v>
      </c>
      <c r="F184" s="311" t="str">
        <f aca="false">VLOOKUP($A184,'Institution Evaluation'!$A$56:$K$346,3,0)&amp;""</f>
        <v/>
      </c>
      <c r="G184" s="311" t="str">
        <f aca="false">VLOOKUP($A184,'Institution Evaluation'!$A$56:$K$346,7,0)&amp;""</f>
        <v>Yes</v>
      </c>
      <c r="H184" s="311" t="str">
        <f aca="false">VLOOKUP($A184,'Institution Evaluation'!$A$56:$K$346,8,0)&amp;""</f>
        <v/>
      </c>
      <c r="I184" s="311" t="str">
        <f aca="false">VLOOKUP($A184,'Institution Evaluation'!$A$56:$K$346,9,0)&amp;""</f>
        <v>Standard Importance</v>
      </c>
      <c r="J184" s="311" t="str">
        <f aca="false">VLOOKUP($A184,'Institution Evaluation'!$A$56:$K$346,10,0)&amp;""</f>
        <v/>
      </c>
      <c r="K184" s="311" t="n">
        <f aca="false">IF($I184="Critical Importance",20,IF($I184="Minor Importance",5,10))</f>
        <v>10</v>
      </c>
      <c r="L184" s="283" t="n">
        <f aca="false">IF($E184="Not Scored", "N/A",IF(AND($D184='Auto Responses'!$J$27,$H184=""),"N/A",IF(AND($D184='Auto Responses'!$J$27,$H184='Auto Responses'!$J$7),1,IF(AND($D184='Auto Responses'!$J$27,$H184='Auto Responses'!$J$8),0,IF(OR($F184=$G184,$H184='Auto Responses'!$J$7),1,0)))))</f>
        <v>0</v>
      </c>
      <c r="M184" s="311" t="str">
        <f aca="false">VLOOKUP($A184,'Institution Evaluation'!$A$56:$K$346,10,0)&amp;""</f>
        <v/>
      </c>
      <c r="N184" s="311" t="n">
        <f aca="false">IF($J184="Critical Importance",1,IF(AND($J184="",$I184="Critical Importance"),1,0))</f>
        <v>0</v>
      </c>
      <c r="O184" s="283" t="str">
        <f aca="false">IF(OR($F$17="No",$E184="Not Scored"),"N/A",IF($J184="",$K184,IF($J184="Minor Importance",5,IF($J184="Standard Importance",10,IF($J184="Critical Importance",20,0)))))</f>
        <v>N/A</v>
      </c>
      <c r="P184" s="283" t="str">
        <f aca="false">IF(OR($O184="N/A",$L184="N/A"),"N/A",$O184*$L184)</f>
        <v>N/A</v>
      </c>
      <c r="Q184" s="283" t="n">
        <f aca="false">IF(M184="TRUE",1,0)</f>
        <v>0</v>
      </c>
      <c r="R184" s="283" t="n">
        <f aca="false">R183+Q184</f>
        <v>0</v>
      </c>
      <c r="S184" s="283" t="n">
        <f aca="false">IF(Q184=0,0,R184)</f>
        <v>0</v>
      </c>
      <c r="T184" s="283" t="n">
        <f aca="false">IF(N184=1,1,0)</f>
        <v>0</v>
      </c>
      <c r="U184" s="283" t="n">
        <f aca="false">U183+T184</f>
        <v>56</v>
      </c>
      <c r="V184" s="283" t="n">
        <f aca="false">IF(T184=0,0,U184)</f>
        <v>0</v>
      </c>
    </row>
    <row r="185" customFormat="false" ht="39.55" hidden="false" customHeight="false" outlineLevel="0" collapsed="false">
      <c r="A185" s="311" t="str">
        <f aca="false">Questions!$A185</f>
        <v>VULN-05</v>
      </c>
      <c r="B185" s="311" t="str">
        <f aca="false">LEFT(A185,4)</f>
        <v>VULN</v>
      </c>
      <c r="C185" s="311" t="str">
        <f aca="false">VLOOKUP($A185,Questions!$A$3:$L$333,2,0)&amp;""</f>
        <v>Do you regularly scan for common web application security vulnerabilities (e.g., SQL injection, XSS, XSRF, etc.)?</v>
      </c>
      <c r="D185" s="311" t="str">
        <f aca="false">VLOOKUP($A185,Questions!$A$3:$L$333,11,0)&amp;""</f>
        <v/>
      </c>
      <c r="E185" s="311" t="str">
        <f aca="false">VLOOKUP($A185,Questions!$A$3:$L$333,12,0)&amp;""</f>
        <v>Infrastructure</v>
      </c>
      <c r="F185" s="311" t="str">
        <f aca="false">VLOOKUP($A185,'Institution Evaluation'!$A$56:$K$346,3,0)&amp;""</f>
        <v/>
      </c>
      <c r="G185" s="311" t="str">
        <f aca="false">VLOOKUP($A185,'Institution Evaluation'!$A$56:$K$346,7,0)&amp;""</f>
        <v>Yes</v>
      </c>
      <c r="H185" s="311" t="str">
        <f aca="false">VLOOKUP($A185,'Institution Evaluation'!$A$56:$K$346,8,0)&amp;""</f>
        <v/>
      </c>
      <c r="I185" s="311" t="str">
        <f aca="false">VLOOKUP($A185,'Institution Evaluation'!$A$56:$K$346,9,0)&amp;""</f>
        <v>Standard Importance</v>
      </c>
      <c r="J185" s="311" t="str">
        <f aca="false">VLOOKUP($A185,'Institution Evaluation'!$A$56:$K$346,10,0)&amp;""</f>
        <v/>
      </c>
      <c r="K185" s="311" t="n">
        <f aca="false">IF($I185="Critical Importance",20,IF($I185="Minor Importance",5,10))</f>
        <v>10</v>
      </c>
      <c r="L185" s="283" t="n">
        <f aca="false">IF($E185="Not Scored", "N/A",IF(AND($D185='Auto Responses'!$J$27,$H185=""),"N/A",IF(AND($D185='Auto Responses'!$J$27,$H185='Auto Responses'!$J$7),1,IF(AND($D185='Auto Responses'!$J$27,$H185='Auto Responses'!$J$8),0,IF(OR($F185=$G185,$H185='Auto Responses'!$J$7),1,0)))))</f>
        <v>0</v>
      </c>
      <c r="M185" s="311" t="str">
        <f aca="false">VLOOKUP($A185,'Institution Evaluation'!$A$56:$K$346,10,0)&amp;""</f>
        <v/>
      </c>
      <c r="N185" s="311" t="n">
        <f aca="false">IF($J185="Critical Importance",1,IF(AND($J185="",$I185="Critical Importance"),1,0))</f>
        <v>0</v>
      </c>
      <c r="O185" s="283" t="str">
        <f aca="false">IF(OR($F$17="No",$E185="Not Scored"),"N/A",IF($J185="",$K185,IF($J185="Minor Importance",5,IF($J185="Standard Importance",10,IF($J185="Critical Importance",20,0)))))</f>
        <v>N/A</v>
      </c>
      <c r="P185" s="283" t="str">
        <f aca="false">IF(OR($O185="N/A",$L185="N/A"),"N/A",$O185*$L185)</f>
        <v>N/A</v>
      </c>
      <c r="Q185" s="283" t="n">
        <f aca="false">IF(M185="TRUE",1,0)</f>
        <v>0</v>
      </c>
      <c r="R185" s="283" t="n">
        <f aca="false">R184+Q185</f>
        <v>0</v>
      </c>
      <c r="S185" s="283" t="n">
        <f aca="false">IF(Q185=0,0,R185)</f>
        <v>0</v>
      </c>
      <c r="T185" s="283" t="n">
        <f aca="false">IF(N185=1,1,0)</f>
        <v>0</v>
      </c>
      <c r="U185" s="283" t="n">
        <f aca="false">U184+T185</f>
        <v>56</v>
      </c>
      <c r="V185" s="283" t="n">
        <f aca="false">IF(T185=0,0,U185)</f>
        <v>0</v>
      </c>
    </row>
    <row r="186" customFormat="false" ht="26.85" hidden="false" customHeight="false" outlineLevel="0" collapsed="false">
      <c r="A186" s="311" t="str">
        <f aca="false">Questions!$A186</f>
        <v>VULN-06</v>
      </c>
      <c r="B186" s="311" t="str">
        <f aca="false">LEFT(A186,4)</f>
        <v>VULN</v>
      </c>
      <c r="C186" s="311" t="str">
        <f aca="false">VLOOKUP($A186,Questions!$A$3:$L$333,2,0)&amp;""</f>
        <v>Are your systems and applications regularly scanned externally for vulnerabilities?</v>
      </c>
      <c r="D186" s="311" t="str">
        <f aca="false">VLOOKUP($A186,Questions!$A$3:$L$333,11,0)&amp;""</f>
        <v/>
      </c>
      <c r="E186" s="311" t="str">
        <f aca="false">VLOOKUP($A186,Questions!$A$3:$L$333,12,0)&amp;""</f>
        <v>Infrastructure</v>
      </c>
      <c r="F186" s="311" t="str">
        <f aca="false">VLOOKUP($A186,'Institution Evaluation'!$A$56:$K$346,3,0)&amp;""</f>
        <v/>
      </c>
      <c r="G186" s="311" t="str">
        <f aca="false">VLOOKUP($A186,'Institution Evaluation'!$A$56:$K$346,7,0)&amp;""</f>
        <v>Yes</v>
      </c>
      <c r="H186" s="311" t="str">
        <f aca="false">VLOOKUP($A186,'Institution Evaluation'!$A$56:$K$346,8,0)&amp;""</f>
        <v/>
      </c>
      <c r="I186" s="311" t="str">
        <f aca="false">VLOOKUP($A186,'Institution Evaluation'!$A$56:$K$346,9,0)&amp;""</f>
        <v>Minor Importance</v>
      </c>
      <c r="J186" s="311" t="str">
        <f aca="false">VLOOKUP($A186,'Institution Evaluation'!$A$56:$K$346,10,0)&amp;""</f>
        <v/>
      </c>
      <c r="K186" s="311" t="n">
        <f aca="false">IF($I186="Critical Importance",20,IF($I186="Minor Importance",5,10))</f>
        <v>5</v>
      </c>
      <c r="L186" s="283" t="n">
        <f aca="false">IF($E186="Not Scored", "N/A",IF(AND($D186='Auto Responses'!$J$27,$H186=""),"N/A",IF(AND($D186='Auto Responses'!$J$27,$H186='Auto Responses'!$J$7),1,IF(AND($D186='Auto Responses'!$J$27,$H186='Auto Responses'!$J$8),0,IF(OR($F186=$G186,$H186='Auto Responses'!$J$7),1,0)))))</f>
        <v>0</v>
      </c>
      <c r="M186" s="311" t="str">
        <f aca="false">VLOOKUP($A186,'Institution Evaluation'!$A$56:$K$346,10,0)&amp;""</f>
        <v/>
      </c>
      <c r="N186" s="311" t="n">
        <f aca="false">IF($J186="Critical Importance",1,IF(AND($J186="",$I186="Critical Importance"),1,0))</f>
        <v>0</v>
      </c>
      <c r="O186" s="283" t="str">
        <f aca="false">IF(OR($F$17="No",$E186="Not Scored"),"N/A",IF($J186="",$K186,IF($J186="Minor Importance",5,IF($J186="Standard Importance",10,IF($J186="Critical Importance",20,0)))))</f>
        <v>N/A</v>
      </c>
      <c r="P186" s="283" t="str">
        <f aca="false">IF(OR($O186="N/A",$L186="N/A"),"N/A",$O186*$L186)</f>
        <v>N/A</v>
      </c>
      <c r="Q186" s="283" t="n">
        <f aca="false">IF(M186="TRUE",1,0)</f>
        <v>0</v>
      </c>
      <c r="R186" s="283" t="n">
        <f aca="false">R185+Q186</f>
        <v>0</v>
      </c>
      <c r="S186" s="283" t="n">
        <f aca="false">IF(Q186=0,0,R186)</f>
        <v>0</v>
      </c>
      <c r="T186" s="283" t="n">
        <f aca="false">IF(N186=1,1,0)</f>
        <v>0</v>
      </c>
      <c r="U186" s="283" t="n">
        <f aca="false">U185+T186</f>
        <v>56</v>
      </c>
      <c r="V186" s="283" t="n">
        <f aca="false">IF(T186=0,0,U186)</f>
        <v>0</v>
      </c>
    </row>
    <row r="187" customFormat="false" ht="64.9" hidden="false" customHeight="false" outlineLevel="0" collapsed="false">
      <c r="A187" s="311" t="str">
        <f aca="false">Questions!$A187</f>
        <v>HIPA-01</v>
      </c>
      <c r="B187" s="311" t="str">
        <f aca="false">LEFT(A187,4)</f>
        <v>HIPA</v>
      </c>
      <c r="C187" s="311" t="str">
        <f aca="false">VLOOKUP($A187,Questions!$A$3:$L$333,2,0)&amp;""</f>
        <v>Do your workforce members receive regular training related to the Health Insurance Portability and Accountability Act (HIPAA) Privacy and Security Rules and the HITECH Act?*</v>
      </c>
      <c r="D187" s="311" t="str">
        <f aca="false">VLOOKUP($A187,Questions!$A$3:$L$333,11,0)&amp;""</f>
        <v/>
      </c>
      <c r="E187" s="311" t="str">
        <f aca="false">VLOOKUP($A187,Questions!$A$3:$L$333,12,0)&amp;""</f>
        <v>Case-specific</v>
      </c>
      <c r="F187" s="311" t="str">
        <f aca="false">VLOOKUP($A187,'Institution Evaluation'!$A$56:$K$346,3,0)&amp;""</f>
        <v/>
      </c>
      <c r="G187" s="311" t="str">
        <f aca="false">VLOOKUP($A187,'Institution Evaluation'!$A$56:$K$346,7,0)&amp;""</f>
        <v>Yes</v>
      </c>
      <c r="H187" s="311" t="str">
        <f aca="false">VLOOKUP($A187,'Institution Evaluation'!$A$56:$K$346,8,0)&amp;""</f>
        <v/>
      </c>
      <c r="I187" s="311" t="str">
        <f aca="false">VLOOKUP($A187,'Institution Evaluation'!$A$56:$K$346,9,0)&amp;""</f>
        <v>Critical Importance</v>
      </c>
      <c r="J187" s="311" t="str">
        <f aca="false">VLOOKUP($A187,'Institution Evaluation'!$A$56:$K$346,10,0)&amp;""</f>
        <v/>
      </c>
      <c r="K187" s="311" t="n">
        <f aca="false">IF($I187="Critical Importance",20,IF($I187="Minor Importance",5,10))</f>
        <v>20</v>
      </c>
      <c r="L187" s="283" t="n">
        <f aca="false">IF($E187="Not Scored", "N/A",IF(AND($D187='Auto Responses'!$J$27,$H187=""),"N/A",IF(AND($D187='Auto Responses'!$J$27,$H187='Auto Responses'!$J$7),1,IF(AND($D187='Auto Responses'!$J$27,$H187='Auto Responses'!$J$8),0,IF(OR($F187=$G187,$H187='Auto Responses'!$J$7),1,0)))))</f>
        <v>0</v>
      </c>
      <c r="M187" s="311" t="str">
        <f aca="false">VLOOKUP($A187,'Institution Evaluation'!$A$56:$K$346,10,0)&amp;""</f>
        <v/>
      </c>
      <c r="N187" s="311" t="n">
        <f aca="false">IF($J187="Critical Importance",1,IF(AND($J187="",$I187="Critical Importance"),1,0))</f>
        <v>1</v>
      </c>
      <c r="O187" s="283" t="str">
        <f aca="false">IF(OR($F$21="No",$E187="Not Scored"),"N/A",IF($J187="",$K187,IF($J187="Minor Importance",5,IF($J187="Standard Importance",10,IF($J187="Critical Importance",20,0)))))</f>
        <v>N/A</v>
      </c>
      <c r="P187" s="283" t="str">
        <f aca="false">IF(OR($O187="N/A",$L187="N/A"),"N/A",$O187*$L187)</f>
        <v>N/A</v>
      </c>
      <c r="Q187" s="283" t="n">
        <f aca="false">IF(M187="TRUE",1,0)</f>
        <v>0</v>
      </c>
      <c r="R187" s="283" t="n">
        <f aca="false">R186+Q187</f>
        <v>0</v>
      </c>
      <c r="S187" s="283" t="n">
        <f aca="false">IF(Q187=0,0,R187)</f>
        <v>0</v>
      </c>
      <c r="T187" s="283" t="n">
        <f aca="false">IF(N187=1,1,0)</f>
        <v>1</v>
      </c>
      <c r="U187" s="283" t="n">
        <f aca="false">U186+T187</f>
        <v>57</v>
      </c>
      <c r="V187" s="283" t="n">
        <f aca="false">IF(T187=0,0,U187)</f>
        <v>57</v>
      </c>
    </row>
    <row r="188" customFormat="false" ht="26.85" hidden="false" customHeight="false" outlineLevel="0" collapsed="false">
      <c r="A188" s="311" t="str">
        <f aca="false">Questions!$A188</f>
        <v>HIPA-02</v>
      </c>
      <c r="B188" s="311" t="str">
        <f aca="false">LEFT(A188,4)</f>
        <v>HIPA</v>
      </c>
      <c r="C188" s="311" t="str">
        <f aca="false">VLOOKUP($A188,Questions!$A$3:$L$333,2,0)&amp;""</f>
        <v>Have you identified areas of risk?*</v>
      </c>
      <c r="D188" s="311" t="str">
        <f aca="false">VLOOKUP($A188,Questions!$A$3:$L$333,11,0)&amp;""</f>
        <v/>
      </c>
      <c r="E188" s="311" t="str">
        <f aca="false">VLOOKUP($A188,Questions!$A$3:$L$333,12,0)&amp;""</f>
        <v>Case-specific</v>
      </c>
      <c r="F188" s="311" t="str">
        <f aca="false">VLOOKUP($A188,'Institution Evaluation'!$A$56:$K$346,3,0)&amp;""</f>
        <v/>
      </c>
      <c r="G188" s="311" t="str">
        <f aca="false">VLOOKUP($A188,'Institution Evaluation'!$A$56:$K$346,7,0)&amp;""</f>
        <v>Yes</v>
      </c>
      <c r="H188" s="311" t="str">
        <f aca="false">VLOOKUP($A188,'Institution Evaluation'!$A$56:$K$346,8,0)&amp;""</f>
        <v/>
      </c>
      <c r="I188" s="311" t="str">
        <f aca="false">VLOOKUP($A188,'Institution Evaluation'!$A$56:$K$346,9,0)&amp;""</f>
        <v>Critical Importance</v>
      </c>
      <c r="J188" s="311" t="str">
        <f aca="false">VLOOKUP($A188,'Institution Evaluation'!$A$56:$K$346,10,0)&amp;""</f>
        <v/>
      </c>
      <c r="K188" s="311" t="n">
        <f aca="false">IF($I188="Critical Importance",20,IF($I188="Minor Importance",5,10))</f>
        <v>20</v>
      </c>
      <c r="L188" s="283" t="n">
        <f aca="false">IF($E188="Not Scored", "N/A",IF(AND($D188='Auto Responses'!$J$27,$H188=""),"N/A",IF(AND($D188='Auto Responses'!$J$27,$H188='Auto Responses'!$J$7),1,IF(AND($D188='Auto Responses'!$J$27,$H188='Auto Responses'!$J$8),0,IF(OR($F188=$G188,$H188='Auto Responses'!$J$7),1,0)))))</f>
        <v>0</v>
      </c>
      <c r="M188" s="311" t="str">
        <f aca="false">VLOOKUP($A188,'Institution Evaluation'!$A$56:$K$346,10,0)&amp;""</f>
        <v/>
      </c>
      <c r="N188" s="311" t="n">
        <f aca="false">IF($J188="Critical Importance",1,IF(AND($J188="",$I188="Critical Importance"),1,0))</f>
        <v>1</v>
      </c>
      <c r="O188" s="283" t="str">
        <f aca="false">IF(OR($F$21="No",$E188="Not Scored"),"N/A",IF($J188="",$K188,IF($J188="Minor Importance",5,IF($J188="Standard Importance",10,IF($J188="Critical Importance",20,0)))))</f>
        <v>N/A</v>
      </c>
      <c r="P188" s="283" t="str">
        <f aca="false">IF(OR($O188="N/A",$L188="N/A"),"N/A",$O188*$L188)</f>
        <v>N/A</v>
      </c>
      <c r="Q188" s="283" t="n">
        <f aca="false">IF(M188="TRUE",1,0)</f>
        <v>0</v>
      </c>
      <c r="R188" s="283" t="n">
        <f aca="false">R187+Q188</f>
        <v>0</v>
      </c>
      <c r="S188" s="283" t="n">
        <f aca="false">IF(Q188=0,0,R188)</f>
        <v>0</v>
      </c>
      <c r="T188" s="283" t="n">
        <f aca="false">IF(N188=1,1,0)</f>
        <v>1</v>
      </c>
      <c r="U188" s="283" t="n">
        <f aca="false">U187+T188</f>
        <v>58</v>
      </c>
      <c r="V188" s="283" t="n">
        <f aca="false">IF(T188=0,0,U188)</f>
        <v>58</v>
      </c>
    </row>
    <row r="189" customFormat="false" ht="26.85" hidden="false" customHeight="false" outlineLevel="0" collapsed="false">
      <c r="A189" s="311" t="str">
        <f aca="false">Questions!$A189</f>
        <v>HIPA-03</v>
      </c>
      <c r="B189" s="311" t="str">
        <f aca="false">LEFT(A189,4)</f>
        <v>HIPA</v>
      </c>
      <c r="C189" s="311" t="str">
        <f aca="false">VLOOKUP($A189,Questions!$A$3:$L$333,2,0)&amp;""</f>
        <v>Have the relevant policies/plans been tested?*</v>
      </c>
      <c r="D189" s="311" t="str">
        <f aca="false">VLOOKUP($A189,Questions!$A$3:$L$333,11,0)&amp;""</f>
        <v/>
      </c>
      <c r="E189" s="311" t="str">
        <f aca="false">VLOOKUP($A189,Questions!$A$3:$L$333,12,0)&amp;""</f>
        <v>Case-specific</v>
      </c>
      <c r="F189" s="311" t="str">
        <f aca="false">VLOOKUP($A189,'Institution Evaluation'!$A$56:$K$346,3,0)&amp;""</f>
        <v/>
      </c>
      <c r="G189" s="311" t="str">
        <f aca="false">VLOOKUP($A189,'Institution Evaluation'!$A$56:$K$346,7,0)&amp;""</f>
        <v>Yes</v>
      </c>
      <c r="H189" s="311" t="str">
        <f aca="false">VLOOKUP($A189,'Institution Evaluation'!$A$56:$K$346,8,0)&amp;""</f>
        <v/>
      </c>
      <c r="I189" s="311" t="str">
        <f aca="false">VLOOKUP($A189,'Institution Evaluation'!$A$56:$K$346,9,0)&amp;""</f>
        <v>Critical Importance</v>
      </c>
      <c r="J189" s="311" t="str">
        <f aca="false">VLOOKUP($A189,'Institution Evaluation'!$A$56:$K$346,10,0)&amp;""</f>
        <v/>
      </c>
      <c r="K189" s="311" t="n">
        <f aca="false">IF($I189="Critical Importance",20,IF($I189="Minor Importance",5,10))</f>
        <v>20</v>
      </c>
      <c r="L189" s="283" t="n">
        <f aca="false">IF($E189="Not Scored", "N/A",IF(AND($D189='Auto Responses'!$J$27,$H189=""),"N/A",IF(AND($D189='Auto Responses'!$J$27,$H189='Auto Responses'!$J$7),1,IF(AND($D189='Auto Responses'!$J$27,$H189='Auto Responses'!$J$8),0,IF(OR($F189=$G189,$H189='Auto Responses'!$J$7),1,0)))))</f>
        <v>0</v>
      </c>
      <c r="M189" s="311" t="str">
        <f aca="false">VLOOKUP($A189,'Institution Evaluation'!$A$56:$K$346,10,0)&amp;""</f>
        <v/>
      </c>
      <c r="N189" s="311" t="n">
        <f aca="false">IF($J189="Critical Importance",1,IF(AND($J189="",$I189="Critical Importance"),1,0))</f>
        <v>1</v>
      </c>
      <c r="O189" s="283" t="str">
        <f aca="false">IF(OR($F$21="No",$E189="Not Scored"),"N/A",IF($J189="",$K189,IF($J189="Minor Importance",5,IF($J189="Standard Importance",10,IF($J189="Critical Importance",20,0)))))</f>
        <v>N/A</v>
      </c>
      <c r="P189" s="283" t="str">
        <f aca="false">IF(OR($O189="N/A",$L189="N/A"),"N/A",$O189*$L189)</f>
        <v>N/A</v>
      </c>
      <c r="Q189" s="283" t="n">
        <f aca="false">IF(M189="TRUE",1,0)</f>
        <v>0</v>
      </c>
      <c r="R189" s="283" t="n">
        <f aca="false">R188+Q189</f>
        <v>0</v>
      </c>
      <c r="S189" s="283" t="n">
        <f aca="false">IF(Q189=0,0,R189)</f>
        <v>0</v>
      </c>
      <c r="T189" s="283" t="n">
        <f aca="false">IF(N189=1,1,0)</f>
        <v>1</v>
      </c>
      <c r="U189" s="283" t="n">
        <f aca="false">U188+T189</f>
        <v>59</v>
      </c>
      <c r="V189" s="283" t="n">
        <f aca="false">IF(T189=0,0,U189)</f>
        <v>59</v>
      </c>
    </row>
    <row r="190" customFormat="false" ht="52.2" hidden="false" customHeight="false" outlineLevel="0" collapsed="false">
      <c r="A190" s="311" t="str">
        <f aca="false">Questions!$A190</f>
        <v>HIPA-04</v>
      </c>
      <c r="B190" s="311" t="str">
        <f aca="false">LEFT(A190,4)</f>
        <v>HIPA</v>
      </c>
      <c r="C190" s="311" t="str">
        <f aca="false">VLOOKUP($A190,Questions!$A$3:$L$333,2,0)&amp;""</f>
        <v>Have you entered into a Business Associate Agreements with all subcontractors who may have access to protected health information (PHI)?*</v>
      </c>
      <c r="D190" s="311" t="str">
        <f aca="false">VLOOKUP($A190,Questions!$A$3:$L$333,11,0)&amp;""</f>
        <v/>
      </c>
      <c r="E190" s="311" t="str">
        <f aca="false">VLOOKUP($A190,Questions!$A$3:$L$333,12,0)&amp;""</f>
        <v>Case-specific</v>
      </c>
      <c r="F190" s="311" t="str">
        <f aca="false">VLOOKUP($A190,'Institution Evaluation'!$A$56:$K$346,3,0)&amp;""</f>
        <v/>
      </c>
      <c r="G190" s="311" t="str">
        <f aca="false">VLOOKUP($A190,'Institution Evaluation'!$A$56:$K$346,7,0)&amp;""</f>
        <v>Yes</v>
      </c>
      <c r="H190" s="311" t="str">
        <f aca="false">VLOOKUP($A190,'Institution Evaluation'!$A$56:$K$346,8,0)&amp;""</f>
        <v/>
      </c>
      <c r="I190" s="311" t="str">
        <f aca="false">VLOOKUP($A190,'Institution Evaluation'!$A$56:$K$346,9,0)&amp;""</f>
        <v>Critical Importance</v>
      </c>
      <c r="J190" s="311" t="str">
        <f aca="false">VLOOKUP($A190,'Institution Evaluation'!$A$56:$K$346,10,0)&amp;""</f>
        <v/>
      </c>
      <c r="K190" s="311" t="n">
        <f aca="false">IF($I190="Critical Importance",20,IF($I190="Minor Importance",5,10))</f>
        <v>20</v>
      </c>
      <c r="L190" s="283" t="n">
        <f aca="false">IF($E190="Not Scored", "N/A",IF(AND($D190='Auto Responses'!$J$27,$H190=""),"N/A",IF(AND($D190='Auto Responses'!$J$27,$H190='Auto Responses'!$J$7),1,IF(AND($D190='Auto Responses'!$J$27,$H190='Auto Responses'!$J$8),0,IF(OR($F190=$G190,$H190='Auto Responses'!$J$7),1,0)))))</f>
        <v>0</v>
      </c>
      <c r="M190" s="311" t="str">
        <f aca="false">VLOOKUP($A190,'Institution Evaluation'!$A$56:$K$346,10,0)&amp;""</f>
        <v/>
      </c>
      <c r="N190" s="311" t="n">
        <f aca="false">IF($J190="Critical Importance",1,IF(AND($J190="",$I190="Critical Importance"),1,0))</f>
        <v>1</v>
      </c>
      <c r="O190" s="283" t="str">
        <f aca="false">IF(OR($F$21="No",$E190="Not Scored"),"N/A",IF($J190="",$K190,IF($J190="Minor Importance",5,IF($J190="Standard Importance",10,IF($J190="Critical Importance",20,0)))))</f>
        <v>N/A</v>
      </c>
      <c r="P190" s="283" t="str">
        <f aca="false">IF(OR($O190="N/A",$L190="N/A"),"N/A",$O190*$L190)</f>
        <v>N/A</v>
      </c>
      <c r="Q190" s="283" t="n">
        <f aca="false">IF(M190="TRUE",1,0)</f>
        <v>0</v>
      </c>
      <c r="R190" s="283" t="n">
        <f aca="false">R189+Q190</f>
        <v>0</v>
      </c>
      <c r="S190" s="283" t="n">
        <f aca="false">IF(Q190=0,0,R190)</f>
        <v>0</v>
      </c>
      <c r="T190" s="283" t="n">
        <f aca="false">IF(N190=1,1,0)</f>
        <v>1</v>
      </c>
      <c r="U190" s="283" t="n">
        <f aca="false">U189+T190</f>
        <v>60</v>
      </c>
      <c r="V190" s="283" t="n">
        <f aca="false">IF(T190=0,0,U190)</f>
        <v>60</v>
      </c>
    </row>
    <row r="191" customFormat="false" ht="26.85" hidden="false" customHeight="false" outlineLevel="0" collapsed="false">
      <c r="A191" s="311" t="str">
        <f aca="false">Questions!$A191</f>
        <v>HIPA-05</v>
      </c>
      <c r="B191" s="311" t="str">
        <f aca="false">LEFT(A191,4)</f>
        <v>HIPA</v>
      </c>
      <c r="C191" s="311" t="str">
        <f aca="false">VLOOKUP($A191,Questions!$A$3:$L$333,2,0)&amp;""</f>
        <v>Do you monitor or receive information regarding changes in HIPAA regulations?</v>
      </c>
      <c r="D191" s="311" t="str">
        <f aca="false">VLOOKUP($A191,Questions!$A$3:$L$333,11,0)&amp;""</f>
        <v/>
      </c>
      <c r="E191" s="311" t="str">
        <f aca="false">VLOOKUP($A191,Questions!$A$3:$L$333,12,0)&amp;""</f>
        <v>Case-specific</v>
      </c>
      <c r="F191" s="311" t="str">
        <f aca="false">VLOOKUP($A191,'Institution Evaluation'!$A$56:$K$346,3,0)&amp;""</f>
        <v/>
      </c>
      <c r="G191" s="311" t="str">
        <f aca="false">VLOOKUP($A191,'Institution Evaluation'!$A$56:$K$346,7,0)&amp;""</f>
        <v>Yes</v>
      </c>
      <c r="H191" s="311" t="str">
        <f aca="false">VLOOKUP($A191,'Institution Evaluation'!$A$56:$K$346,8,0)&amp;""</f>
        <v/>
      </c>
      <c r="I191" s="311" t="str">
        <f aca="false">VLOOKUP($A191,'Institution Evaluation'!$A$56:$K$346,9,0)&amp;""</f>
        <v>Standard Importance</v>
      </c>
      <c r="J191" s="311" t="str">
        <f aca="false">VLOOKUP($A191,'Institution Evaluation'!$A$56:$K$346,10,0)&amp;""</f>
        <v/>
      </c>
      <c r="K191" s="311" t="n">
        <f aca="false">IF($I191="Critical Importance",20,IF($I191="Minor Importance",5,10))</f>
        <v>10</v>
      </c>
      <c r="L191" s="283" t="n">
        <f aca="false">IF($E191="Not Scored", "N/A",IF(AND($D191='Auto Responses'!$J$27,$H191=""),"N/A",IF(AND($D191='Auto Responses'!$J$27,$H191='Auto Responses'!$J$7),1,IF(AND($D191='Auto Responses'!$J$27,$H191='Auto Responses'!$J$8),0,IF(OR($F191=$G191,$H191='Auto Responses'!$J$7),1,0)))))</f>
        <v>0</v>
      </c>
      <c r="M191" s="311" t="str">
        <f aca="false">VLOOKUP($A191,'Institution Evaluation'!$A$56:$K$346,10,0)&amp;""</f>
        <v/>
      </c>
      <c r="N191" s="311" t="n">
        <f aca="false">IF($J191="Critical Importance",1,IF(AND($J191="",$I191="Critical Importance"),1,0))</f>
        <v>0</v>
      </c>
      <c r="O191" s="283" t="str">
        <f aca="false">IF(OR($F$21="No",$E191="Not Scored"),"N/A",IF($J191="",$K191,IF($J191="Minor Importance",5,IF($J191="Standard Importance",10,IF($J191="Critical Importance",20,0)))))</f>
        <v>N/A</v>
      </c>
      <c r="P191" s="283" t="str">
        <f aca="false">IF(OR($O191="N/A",$L191="N/A"),"N/A",$O191*$L191)</f>
        <v>N/A</v>
      </c>
      <c r="Q191" s="283" t="n">
        <f aca="false">IF(M191="TRUE",1,0)</f>
        <v>0</v>
      </c>
      <c r="R191" s="283" t="n">
        <f aca="false">R190+Q191</f>
        <v>0</v>
      </c>
      <c r="S191" s="283" t="n">
        <f aca="false">IF(Q191=0,0,R191)</f>
        <v>0</v>
      </c>
      <c r="T191" s="283" t="n">
        <f aca="false">IF(N191=1,1,0)</f>
        <v>0</v>
      </c>
      <c r="U191" s="283" t="n">
        <f aca="false">U190+T191</f>
        <v>60</v>
      </c>
      <c r="V191" s="283" t="n">
        <f aca="false">IF(T191=0,0,U191)</f>
        <v>0</v>
      </c>
    </row>
    <row r="192" customFormat="false" ht="39.55" hidden="false" customHeight="false" outlineLevel="0" collapsed="false">
      <c r="A192" s="311" t="str">
        <f aca="false">Questions!$A192</f>
        <v>HIPA-06</v>
      </c>
      <c r="B192" s="311" t="str">
        <f aca="false">LEFT(A192,4)</f>
        <v>HIPA</v>
      </c>
      <c r="C192" s="311" t="str">
        <f aca="false">VLOOKUP($A192,Questions!$A$3:$L$333,2,0)&amp;""</f>
        <v>Has your organization designated HIPAA Privacy and Security officers as required by the rules?</v>
      </c>
      <c r="D192" s="311" t="str">
        <f aca="false">VLOOKUP($A192,Questions!$A$3:$L$333,11,0)&amp;""</f>
        <v/>
      </c>
      <c r="E192" s="311" t="str">
        <f aca="false">VLOOKUP($A192,Questions!$A$3:$L$333,12,0)&amp;""</f>
        <v>Case-specific</v>
      </c>
      <c r="F192" s="311" t="str">
        <f aca="false">VLOOKUP($A192,'Institution Evaluation'!$A$56:$K$346,3,0)&amp;""</f>
        <v/>
      </c>
      <c r="G192" s="311" t="str">
        <f aca="false">VLOOKUP($A192,'Institution Evaluation'!$A$56:$K$346,7,0)&amp;""</f>
        <v>Yes</v>
      </c>
      <c r="H192" s="311" t="str">
        <f aca="false">VLOOKUP($A192,'Institution Evaluation'!$A$56:$K$346,8,0)&amp;""</f>
        <v/>
      </c>
      <c r="I192" s="311" t="str">
        <f aca="false">VLOOKUP($A192,'Institution Evaluation'!$A$56:$K$346,9,0)&amp;""</f>
        <v>Standard Importance</v>
      </c>
      <c r="J192" s="311" t="str">
        <f aca="false">VLOOKUP($A192,'Institution Evaluation'!$A$56:$K$346,10,0)&amp;""</f>
        <v/>
      </c>
      <c r="K192" s="311" t="n">
        <f aca="false">IF($I192="Critical Importance",20,IF($I192="Minor Importance",5,10))</f>
        <v>10</v>
      </c>
      <c r="L192" s="283" t="n">
        <f aca="false">IF($E192="Not Scored", "N/A",IF(AND($D192='Auto Responses'!$J$27,$H192=""),"N/A",IF(AND($D192='Auto Responses'!$J$27,$H192='Auto Responses'!$J$7),1,IF(AND($D192='Auto Responses'!$J$27,$H192='Auto Responses'!$J$8),0,IF(OR($F192=$G192,$H192='Auto Responses'!$J$7),1,0)))))</f>
        <v>0</v>
      </c>
      <c r="M192" s="311" t="str">
        <f aca="false">VLOOKUP($A192,'Institution Evaluation'!$A$56:$K$346,10,0)&amp;""</f>
        <v/>
      </c>
      <c r="N192" s="311" t="n">
        <f aca="false">IF($J192="Critical Importance",1,IF(AND($J192="",$I192="Critical Importance"),1,0))</f>
        <v>0</v>
      </c>
      <c r="O192" s="283" t="str">
        <f aca="false">IF(OR($F$21="No",$E192="Not Scored"),"N/A",IF($J192="",$K192,IF($J192="Minor Importance",5,IF($J192="Standard Importance",10,IF($J192="Critical Importance",20,0)))))</f>
        <v>N/A</v>
      </c>
      <c r="P192" s="283" t="str">
        <f aca="false">IF(OR($O192="N/A",$L192="N/A"),"N/A",$O192*$L192)</f>
        <v>N/A</v>
      </c>
      <c r="Q192" s="283" t="n">
        <f aca="false">IF(M192="TRUE",1,0)</f>
        <v>0</v>
      </c>
      <c r="R192" s="283" t="n">
        <f aca="false">R191+Q192</f>
        <v>0</v>
      </c>
      <c r="S192" s="283" t="n">
        <f aca="false">IF(Q192=0,0,R192)</f>
        <v>0</v>
      </c>
      <c r="T192" s="283" t="n">
        <f aca="false">IF(N192=1,1,0)</f>
        <v>0</v>
      </c>
      <c r="U192" s="283" t="n">
        <f aca="false">U191+T192</f>
        <v>60</v>
      </c>
      <c r="V192" s="283" t="n">
        <f aca="false">IF(T192=0,0,U192)</f>
        <v>0</v>
      </c>
    </row>
    <row r="193" customFormat="false" ht="39.55" hidden="false" customHeight="false" outlineLevel="0" collapsed="false">
      <c r="A193" s="311" t="str">
        <f aca="false">Questions!$A193</f>
        <v>HIPA-07</v>
      </c>
      <c r="B193" s="311" t="str">
        <f aca="false">LEFT(A193,4)</f>
        <v>HIPA</v>
      </c>
      <c r="C193" s="311" t="str">
        <f aca="false">VLOOKUP($A193,Questions!$A$3:$L$333,2,0)&amp;""</f>
        <v>Do you comply with the requirements of the Health Information Technology for Economic and Clinical Health Act (HITECH)?</v>
      </c>
      <c r="D193" s="311" t="str">
        <f aca="false">VLOOKUP($A193,Questions!$A$3:$L$333,11,0)&amp;""</f>
        <v/>
      </c>
      <c r="E193" s="311" t="str">
        <f aca="false">VLOOKUP($A193,Questions!$A$3:$L$333,12,0)&amp;""</f>
        <v>Case-specific</v>
      </c>
      <c r="F193" s="311" t="str">
        <f aca="false">VLOOKUP($A193,'Institution Evaluation'!$A$56:$K$346,3,0)&amp;""</f>
        <v/>
      </c>
      <c r="G193" s="311" t="str">
        <f aca="false">VLOOKUP($A193,'Institution Evaluation'!$A$56:$K$346,7,0)&amp;""</f>
        <v>Yes</v>
      </c>
      <c r="H193" s="311" t="str">
        <f aca="false">VLOOKUP($A193,'Institution Evaluation'!$A$56:$K$346,8,0)&amp;""</f>
        <v/>
      </c>
      <c r="I193" s="311" t="str">
        <f aca="false">VLOOKUP($A193,'Institution Evaluation'!$A$56:$K$346,9,0)&amp;""</f>
        <v>Standard Importance</v>
      </c>
      <c r="J193" s="311" t="str">
        <f aca="false">VLOOKUP($A193,'Institution Evaluation'!$A$56:$K$346,10,0)&amp;""</f>
        <v/>
      </c>
      <c r="K193" s="311" t="n">
        <f aca="false">IF($I193="Critical Importance",20,IF($I193="Minor Importance",5,10))</f>
        <v>10</v>
      </c>
      <c r="L193" s="283" t="n">
        <f aca="false">IF($E193="Not Scored", "N/A",IF(AND($D193='Auto Responses'!$J$27,$H193=""),"N/A",IF(AND($D193='Auto Responses'!$J$27,$H193='Auto Responses'!$J$7),1,IF(AND($D193='Auto Responses'!$J$27,$H193='Auto Responses'!$J$8),0,IF(OR($F193=$G193,$H193='Auto Responses'!$J$7),1,0)))))</f>
        <v>0</v>
      </c>
      <c r="M193" s="311" t="str">
        <f aca="false">VLOOKUP($A193,'Institution Evaluation'!$A$56:$K$346,10,0)&amp;""</f>
        <v/>
      </c>
      <c r="N193" s="311" t="n">
        <f aca="false">IF($J193="Critical Importance",1,IF(AND($J193="",$I193="Critical Importance"),1,0))</f>
        <v>0</v>
      </c>
      <c r="O193" s="283" t="str">
        <f aca="false">IF(OR($F$21="No",$E193="Not Scored"),"N/A",IF($J193="",$K193,IF($J193="Minor Importance",5,IF($J193="Standard Importance",10,IF($J193="Critical Importance",20,0)))))</f>
        <v>N/A</v>
      </c>
      <c r="P193" s="283" t="str">
        <f aca="false">IF(OR($O193="N/A",$L193="N/A"),"N/A",$O193*$L193)</f>
        <v>N/A</v>
      </c>
      <c r="Q193" s="283" t="n">
        <f aca="false">IF(M193="TRUE",1,0)</f>
        <v>0</v>
      </c>
      <c r="R193" s="283" t="n">
        <f aca="false">R192+Q193</f>
        <v>0</v>
      </c>
      <c r="S193" s="283" t="n">
        <f aca="false">IF(Q193=0,0,R193)</f>
        <v>0</v>
      </c>
      <c r="T193" s="283" t="n">
        <f aca="false">IF(N193=1,1,0)</f>
        <v>0</v>
      </c>
      <c r="U193" s="283" t="n">
        <f aca="false">U192+T193</f>
        <v>60</v>
      </c>
      <c r="V193" s="283" t="n">
        <f aca="false">IF(T193=0,0,U193)</f>
        <v>0</v>
      </c>
    </row>
    <row r="194" customFormat="false" ht="26.85" hidden="false" customHeight="false" outlineLevel="0" collapsed="false">
      <c r="A194" s="311" t="str">
        <f aca="false">Questions!$A194</f>
        <v>HIPA-08</v>
      </c>
      <c r="B194" s="311" t="str">
        <f aca="false">LEFT(A194,4)</f>
        <v>HIPA</v>
      </c>
      <c r="C194" s="311" t="str">
        <f aca="false">VLOOKUP($A194,Questions!$A$3:$L$333,2,0)&amp;""</f>
        <v>Have you conducted a risk analysis as required under the HIPAA Security Rule?</v>
      </c>
      <c r="D194" s="311" t="str">
        <f aca="false">VLOOKUP($A194,Questions!$A$3:$L$333,11,0)&amp;""</f>
        <v/>
      </c>
      <c r="E194" s="311" t="str">
        <f aca="false">VLOOKUP($A194,Questions!$A$3:$L$333,12,0)&amp;""</f>
        <v>Case-specific</v>
      </c>
      <c r="F194" s="311" t="str">
        <f aca="false">VLOOKUP($A194,'Institution Evaluation'!$A$56:$K$346,3,0)&amp;""</f>
        <v/>
      </c>
      <c r="G194" s="311" t="str">
        <f aca="false">VLOOKUP($A194,'Institution Evaluation'!$A$56:$K$346,7,0)&amp;""</f>
        <v>Yes</v>
      </c>
      <c r="H194" s="311" t="str">
        <f aca="false">VLOOKUP($A194,'Institution Evaluation'!$A$56:$K$346,8,0)&amp;""</f>
        <v/>
      </c>
      <c r="I194" s="311" t="str">
        <f aca="false">VLOOKUP($A194,'Institution Evaluation'!$A$56:$K$346,9,0)&amp;""</f>
        <v>Standard Importance</v>
      </c>
      <c r="J194" s="311" t="str">
        <f aca="false">VLOOKUP($A194,'Institution Evaluation'!$A$56:$K$346,10,0)&amp;""</f>
        <v/>
      </c>
      <c r="K194" s="311" t="n">
        <f aca="false">IF($I194="Critical Importance",20,IF($I194="Minor Importance",5,10))</f>
        <v>10</v>
      </c>
      <c r="L194" s="283" t="n">
        <f aca="false">IF($E194="Not Scored", "N/A",IF(AND($D194='Auto Responses'!$J$27,$H194=""),"N/A",IF(AND($D194='Auto Responses'!$J$27,$H194='Auto Responses'!$J$7),1,IF(AND($D194='Auto Responses'!$J$27,$H194='Auto Responses'!$J$8),0,IF(OR($F194=$G194,$H194='Auto Responses'!$J$7),1,0)))))</f>
        <v>0</v>
      </c>
      <c r="M194" s="311" t="str">
        <f aca="false">VLOOKUP($A194,'Institution Evaluation'!$A$56:$K$346,10,0)&amp;""</f>
        <v/>
      </c>
      <c r="N194" s="311" t="n">
        <f aca="false">IF($J194="Critical Importance",1,IF(AND($J194="",$I194="Critical Importance"),1,0))</f>
        <v>0</v>
      </c>
      <c r="O194" s="283" t="str">
        <f aca="false">IF(OR($F$21="No",$E194="Not Scored"),"N/A",IF($J194="",$K194,IF($J194="Minor Importance",5,IF($J194="Standard Importance",10,IF($J194="Critical Importance",20,0)))))</f>
        <v>N/A</v>
      </c>
      <c r="P194" s="283" t="str">
        <f aca="false">IF(OR($O194="N/A",$L194="N/A"),"N/A",$O194*$L194)</f>
        <v>N/A</v>
      </c>
      <c r="Q194" s="283" t="n">
        <f aca="false">IF(M194="TRUE",1,0)</f>
        <v>0</v>
      </c>
      <c r="R194" s="283" t="n">
        <f aca="false">R193+Q194</f>
        <v>0</v>
      </c>
      <c r="S194" s="283" t="n">
        <f aca="false">IF(Q194=0,0,R194)</f>
        <v>0</v>
      </c>
      <c r="T194" s="283" t="n">
        <f aca="false">IF(N194=1,1,0)</f>
        <v>0</v>
      </c>
      <c r="U194" s="283" t="n">
        <f aca="false">U193+T194</f>
        <v>60</v>
      </c>
      <c r="V194" s="283" t="n">
        <f aca="false">IF(T194=0,0,U194)</f>
        <v>0</v>
      </c>
    </row>
    <row r="195" customFormat="false" ht="26.85" hidden="false" customHeight="false" outlineLevel="0" collapsed="false">
      <c r="A195" s="311" t="str">
        <f aca="false">Questions!$A195</f>
        <v>HIPA-09</v>
      </c>
      <c r="B195" s="311" t="str">
        <f aca="false">LEFT(A195,4)</f>
        <v>HIPA</v>
      </c>
      <c r="C195" s="311" t="str">
        <f aca="false">VLOOKUP($A195,Questions!$A$3:$L$333,2,0)&amp;""</f>
        <v>Have you taken actions to mitigate the identified risks?</v>
      </c>
      <c r="D195" s="311" t="str">
        <f aca="false">VLOOKUP($A195,Questions!$A$3:$L$333,11,0)&amp;""</f>
        <v/>
      </c>
      <c r="E195" s="311" t="str">
        <f aca="false">VLOOKUP($A195,Questions!$A$3:$L$333,12,0)&amp;""</f>
        <v>Case-specific</v>
      </c>
      <c r="F195" s="311" t="str">
        <f aca="false">VLOOKUP($A195,'Institution Evaluation'!$A$56:$K$346,3,0)&amp;""</f>
        <v/>
      </c>
      <c r="G195" s="311" t="str">
        <f aca="false">VLOOKUP($A195,'Institution Evaluation'!$A$56:$K$346,7,0)&amp;""</f>
        <v>Yes</v>
      </c>
      <c r="H195" s="311" t="str">
        <f aca="false">VLOOKUP($A195,'Institution Evaluation'!$A$56:$K$346,8,0)&amp;""</f>
        <v/>
      </c>
      <c r="I195" s="311" t="str">
        <f aca="false">VLOOKUP($A195,'Institution Evaluation'!$A$56:$K$346,9,0)&amp;""</f>
        <v>Standard Importance</v>
      </c>
      <c r="J195" s="311" t="str">
        <f aca="false">VLOOKUP($A195,'Institution Evaluation'!$A$56:$K$346,10,0)&amp;""</f>
        <v/>
      </c>
      <c r="K195" s="311" t="n">
        <f aca="false">IF($I195="Critical Importance",20,IF($I195="Minor Importance",5,10))</f>
        <v>10</v>
      </c>
      <c r="L195" s="283" t="n">
        <f aca="false">IF($E195="Not Scored", "N/A",IF(AND($D195='Auto Responses'!$J$27,$H195=""),"N/A",IF(AND($D195='Auto Responses'!$J$27,$H195='Auto Responses'!$J$7),1,IF(AND($D195='Auto Responses'!$J$27,$H195='Auto Responses'!$J$8),0,IF(OR($F195=$G195,$H195='Auto Responses'!$J$7),1,0)))))</f>
        <v>0</v>
      </c>
      <c r="M195" s="311" t="str">
        <f aca="false">VLOOKUP($A195,'Institution Evaluation'!$A$56:$K$346,10,0)&amp;""</f>
        <v/>
      </c>
      <c r="N195" s="311" t="n">
        <f aca="false">IF($J195="Critical Importance",1,IF(AND($J195="",$I195="Critical Importance"),1,0))</f>
        <v>0</v>
      </c>
      <c r="O195" s="283" t="str">
        <f aca="false">IF(OR($F$21="No",$E195="Not Scored"),"N/A",IF($J195="",$K195,IF($J195="Minor Importance",5,IF($J195="Standard Importance",10,IF($J195="Critical Importance",20,0)))))</f>
        <v>N/A</v>
      </c>
      <c r="P195" s="283" t="str">
        <f aca="false">IF(OR($O195="N/A",$L195="N/A"),"N/A",$O195*$L195)</f>
        <v>N/A</v>
      </c>
      <c r="Q195" s="283" t="n">
        <f aca="false">IF(M195="TRUE",1,0)</f>
        <v>0</v>
      </c>
      <c r="R195" s="283" t="n">
        <f aca="false">R194+Q195</f>
        <v>0</v>
      </c>
      <c r="S195" s="283" t="n">
        <f aca="false">IF(Q195=0,0,R195)</f>
        <v>0</v>
      </c>
      <c r="T195" s="283" t="n">
        <f aca="false">IF(N195=1,1,0)</f>
        <v>0</v>
      </c>
      <c r="U195" s="283" t="n">
        <f aca="false">U194+T195</f>
        <v>60</v>
      </c>
      <c r="V195" s="283" t="n">
        <f aca="false">IF(T195=0,0,U195)</f>
        <v>0</v>
      </c>
    </row>
    <row r="196" customFormat="false" ht="39.55" hidden="false" customHeight="false" outlineLevel="0" collapsed="false">
      <c r="A196" s="311" t="str">
        <f aca="false">Questions!$A196</f>
        <v>HIPA-10</v>
      </c>
      <c r="B196" s="311" t="str">
        <f aca="false">LEFT(A196,4)</f>
        <v>HIPA</v>
      </c>
      <c r="C196" s="311" t="str">
        <f aca="false">VLOOKUP($A196,Questions!$A$3:$L$333,2,0)&amp;""</f>
        <v>Does your application require user and system administrator password changes at a frequency no greater than 90 days?</v>
      </c>
      <c r="D196" s="311" t="str">
        <f aca="false">VLOOKUP($A196,Questions!$A$3:$L$333,11,0)&amp;""</f>
        <v/>
      </c>
      <c r="E196" s="311" t="str">
        <f aca="false">VLOOKUP($A196,Questions!$A$3:$L$333,12,0)&amp;""</f>
        <v>Case-specific</v>
      </c>
      <c r="F196" s="311" t="str">
        <f aca="false">VLOOKUP($A196,'Institution Evaluation'!$A$56:$K$346,3,0)&amp;""</f>
        <v/>
      </c>
      <c r="G196" s="311" t="str">
        <f aca="false">VLOOKUP($A196,'Institution Evaluation'!$A$56:$K$346,7,0)&amp;""</f>
        <v>Yes</v>
      </c>
      <c r="H196" s="311" t="str">
        <f aca="false">VLOOKUP($A196,'Institution Evaluation'!$A$56:$K$346,8,0)&amp;""</f>
        <v/>
      </c>
      <c r="I196" s="311" t="str">
        <f aca="false">VLOOKUP($A196,'Institution Evaluation'!$A$56:$K$346,9,0)&amp;""</f>
        <v>Standard Importance</v>
      </c>
      <c r="J196" s="311" t="str">
        <f aca="false">VLOOKUP($A196,'Institution Evaluation'!$A$56:$K$346,10,0)&amp;""</f>
        <v/>
      </c>
      <c r="K196" s="311" t="n">
        <f aca="false">IF($I196="Critical Importance",20,IF($I196="Minor Importance",5,10))</f>
        <v>10</v>
      </c>
      <c r="L196" s="283" t="n">
        <f aca="false">IF($E196="Not Scored", "N/A",IF(AND($D196='Auto Responses'!$J$27,$H196=""),"N/A",IF(AND($D196='Auto Responses'!$J$27,$H196='Auto Responses'!$J$7),1,IF(AND($D196='Auto Responses'!$J$27,$H196='Auto Responses'!$J$8),0,IF(OR($F196=$G196,$H196='Auto Responses'!$J$7),1,0)))))</f>
        <v>0</v>
      </c>
      <c r="M196" s="311" t="str">
        <f aca="false">VLOOKUP($A196,'Institution Evaluation'!$A$56:$K$346,10,0)&amp;""</f>
        <v/>
      </c>
      <c r="N196" s="311" t="n">
        <f aca="false">IF($J196="Critical Importance",1,IF(AND($J196="",$I196="Critical Importance"),1,0))</f>
        <v>0</v>
      </c>
      <c r="O196" s="283" t="str">
        <f aca="false">IF(OR($F$21="No",$E196="Not Scored"),"N/A",IF($J196="",$K196,IF($J196="Minor Importance",5,IF($J196="Standard Importance",10,IF($J196="Critical Importance",20,0)))))</f>
        <v>N/A</v>
      </c>
      <c r="P196" s="283" t="str">
        <f aca="false">IF(OR($O196="N/A",$L196="N/A"),"N/A",$O196*$L196)</f>
        <v>N/A</v>
      </c>
      <c r="Q196" s="283" t="n">
        <f aca="false">IF(M196="TRUE",1,0)</f>
        <v>0</v>
      </c>
      <c r="R196" s="283" t="n">
        <f aca="false">R195+Q196</f>
        <v>0</v>
      </c>
      <c r="S196" s="283" t="n">
        <f aca="false">IF(Q196=0,0,R196)</f>
        <v>0</v>
      </c>
      <c r="T196" s="283" t="n">
        <f aca="false">IF(N196=1,1,0)</f>
        <v>0</v>
      </c>
      <c r="U196" s="283" t="n">
        <f aca="false">U195+T196</f>
        <v>60</v>
      </c>
      <c r="V196" s="283" t="n">
        <f aca="false">IF(T196=0,0,U196)</f>
        <v>0</v>
      </c>
    </row>
    <row r="197" customFormat="false" ht="39.55" hidden="false" customHeight="false" outlineLevel="0" collapsed="false">
      <c r="A197" s="311" t="str">
        <f aca="false">Questions!$A197</f>
        <v>HIPA-11</v>
      </c>
      <c r="B197" s="311" t="str">
        <f aca="false">LEFT(A197,4)</f>
        <v>HIPA</v>
      </c>
      <c r="C197" s="311" t="str">
        <f aca="false">VLOOKUP($A197,Questions!$A$3:$L$333,2,0)&amp;""</f>
        <v>Does your application require users to set their own password after an administrator reset or on first use of the account?</v>
      </c>
      <c r="D197" s="311" t="str">
        <f aca="false">VLOOKUP($A197,Questions!$A$3:$L$333,11,0)&amp;""</f>
        <v/>
      </c>
      <c r="E197" s="311" t="str">
        <f aca="false">VLOOKUP($A197,Questions!$A$3:$L$333,12,0)&amp;""</f>
        <v>Case-specific</v>
      </c>
      <c r="F197" s="311" t="str">
        <f aca="false">VLOOKUP($A197,'Institution Evaluation'!$A$56:$K$346,3,0)&amp;""</f>
        <v/>
      </c>
      <c r="G197" s="311" t="str">
        <f aca="false">VLOOKUP($A197,'Institution Evaluation'!$A$56:$K$346,7,0)&amp;""</f>
        <v>Yes</v>
      </c>
      <c r="H197" s="311" t="str">
        <f aca="false">VLOOKUP($A197,'Institution Evaluation'!$A$56:$K$346,8,0)&amp;""</f>
        <v/>
      </c>
      <c r="I197" s="311" t="str">
        <f aca="false">VLOOKUP($A197,'Institution Evaluation'!$A$56:$K$346,9,0)&amp;""</f>
        <v>Standard Importance</v>
      </c>
      <c r="J197" s="311" t="str">
        <f aca="false">VLOOKUP($A197,'Institution Evaluation'!$A$56:$K$346,10,0)&amp;""</f>
        <v/>
      </c>
      <c r="K197" s="311" t="n">
        <f aca="false">IF($I197="Critical Importance",20,IF($I197="Minor Importance",5,10))</f>
        <v>10</v>
      </c>
      <c r="L197" s="283" t="n">
        <f aca="false">IF($E197="Not Scored", "N/A",IF(AND($D197='Auto Responses'!$J$27,$H197=""),"N/A",IF(AND($D197='Auto Responses'!$J$27,$H197='Auto Responses'!$J$7),1,IF(AND($D197='Auto Responses'!$J$27,$H197='Auto Responses'!$J$8),0,IF(OR($F197=$G197,$H197='Auto Responses'!$J$7),1,0)))))</f>
        <v>0</v>
      </c>
      <c r="M197" s="311" t="str">
        <f aca="false">VLOOKUP($A197,'Institution Evaluation'!$A$56:$K$346,10,0)&amp;""</f>
        <v/>
      </c>
      <c r="N197" s="311" t="n">
        <f aca="false">IF($J197="Critical Importance",1,IF(AND($J197="",$I197="Critical Importance"),1,0))</f>
        <v>0</v>
      </c>
      <c r="O197" s="283" t="str">
        <f aca="false">IF(OR($F$21="No",$E197="Not Scored"),"N/A",IF($J197="",$K197,IF($J197="Minor Importance",5,IF($J197="Standard Importance",10,IF($J197="Critical Importance",20,0)))))</f>
        <v>N/A</v>
      </c>
      <c r="P197" s="283" t="str">
        <f aca="false">IF(OR($O197="N/A",$L197="N/A"),"N/A",$O197*$L197)</f>
        <v>N/A</v>
      </c>
      <c r="Q197" s="283" t="n">
        <f aca="false">IF(M197="TRUE",1,0)</f>
        <v>0</v>
      </c>
      <c r="R197" s="283" t="n">
        <f aca="false">R196+Q197</f>
        <v>0</v>
      </c>
      <c r="S197" s="283" t="n">
        <f aca="false">IF(Q197=0,0,R197)</f>
        <v>0</v>
      </c>
      <c r="T197" s="283" t="n">
        <f aca="false">IF(N197=1,1,0)</f>
        <v>0</v>
      </c>
      <c r="U197" s="283" t="n">
        <f aca="false">U196+T197</f>
        <v>60</v>
      </c>
      <c r="V197" s="283" t="n">
        <f aca="false">IF(T197=0,0,U197)</f>
        <v>0</v>
      </c>
    </row>
    <row r="198" customFormat="false" ht="26.85" hidden="false" customHeight="false" outlineLevel="0" collapsed="false">
      <c r="A198" s="311" t="str">
        <f aca="false">Questions!$A198</f>
        <v>HIPA-12</v>
      </c>
      <c r="B198" s="311" t="str">
        <f aca="false">LEFT(A198,4)</f>
        <v>HIPA</v>
      </c>
      <c r="C198" s="311" t="str">
        <f aca="false">VLOOKUP($A198,Questions!$A$3:$L$333,2,0)&amp;""</f>
        <v>Does your application lock out an account after a number of failed login attempts?</v>
      </c>
      <c r="D198" s="311" t="str">
        <f aca="false">VLOOKUP($A198,Questions!$A$3:$L$333,11,0)&amp;""</f>
        <v/>
      </c>
      <c r="E198" s="311" t="str">
        <f aca="false">VLOOKUP($A198,Questions!$A$3:$L$333,12,0)&amp;""</f>
        <v>Case-specific</v>
      </c>
      <c r="F198" s="311" t="str">
        <f aca="false">VLOOKUP($A198,'Institution Evaluation'!$A$56:$K$346,3,0)&amp;""</f>
        <v/>
      </c>
      <c r="G198" s="311" t="str">
        <f aca="false">VLOOKUP($A198,'Institution Evaluation'!$A$56:$K$346,7,0)&amp;""</f>
        <v>Yes</v>
      </c>
      <c r="H198" s="311" t="str">
        <f aca="false">VLOOKUP($A198,'Institution Evaluation'!$A$56:$K$346,8,0)&amp;""</f>
        <v/>
      </c>
      <c r="I198" s="311" t="str">
        <f aca="false">VLOOKUP($A198,'Institution Evaluation'!$A$56:$K$346,9,0)&amp;""</f>
        <v>Standard Importance</v>
      </c>
      <c r="J198" s="311" t="str">
        <f aca="false">VLOOKUP($A198,'Institution Evaluation'!$A$56:$K$346,10,0)&amp;""</f>
        <v/>
      </c>
      <c r="K198" s="311" t="n">
        <f aca="false">IF($I198="Critical Importance",20,IF($I198="Minor Importance",5,10))</f>
        <v>10</v>
      </c>
      <c r="L198" s="283" t="n">
        <f aca="false">IF($E198="Not Scored", "N/A",IF(AND($D198='Auto Responses'!$J$27,$H198=""),"N/A",IF(AND($D198='Auto Responses'!$J$27,$H198='Auto Responses'!$J$7),1,IF(AND($D198='Auto Responses'!$J$27,$H198='Auto Responses'!$J$8),0,IF(OR($F198=$G198,$H198='Auto Responses'!$J$7),1,0)))))</f>
        <v>0</v>
      </c>
      <c r="M198" s="311" t="str">
        <f aca="false">VLOOKUP($A198,'Institution Evaluation'!$A$56:$K$346,10,0)&amp;""</f>
        <v/>
      </c>
      <c r="N198" s="311" t="n">
        <f aca="false">IF($J198="Critical Importance",1,IF(AND($J198="",$I198="Critical Importance"),1,0))</f>
        <v>0</v>
      </c>
      <c r="O198" s="283" t="str">
        <f aca="false">IF(OR($F$21="No",$E198="Not Scored"),"N/A",IF($J198="",$K198,IF($J198="Minor Importance",5,IF($J198="Standard Importance",10,IF($J198="Critical Importance",20,0)))))</f>
        <v>N/A</v>
      </c>
      <c r="P198" s="283" t="str">
        <f aca="false">IF(OR($O198="N/A",$L198="N/A"),"N/A",$O198*$L198)</f>
        <v>N/A</v>
      </c>
      <c r="Q198" s="283" t="n">
        <f aca="false">IF(M198="TRUE",1,0)</f>
        <v>0</v>
      </c>
      <c r="R198" s="283" t="n">
        <f aca="false">R197+Q198</f>
        <v>0</v>
      </c>
      <c r="S198" s="283" t="n">
        <f aca="false">IF(Q198=0,0,R198)</f>
        <v>0</v>
      </c>
      <c r="T198" s="283" t="n">
        <f aca="false">IF(N198=1,1,0)</f>
        <v>0</v>
      </c>
      <c r="U198" s="283" t="n">
        <f aca="false">U197+T198</f>
        <v>60</v>
      </c>
      <c r="V198" s="283" t="n">
        <f aca="false">IF(T198=0,0,U198)</f>
        <v>0</v>
      </c>
    </row>
    <row r="199" customFormat="false" ht="26.85" hidden="false" customHeight="false" outlineLevel="0" collapsed="false">
      <c r="A199" s="311" t="str">
        <f aca="false">Questions!$A199</f>
        <v>HIPA-13</v>
      </c>
      <c r="B199" s="311" t="str">
        <f aca="false">LEFT(A199,4)</f>
        <v>HIPA</v>
      </c>
      <c r="C199" s="311" t="str">
        <f aca="false">VLOOKUP($A199,Questions!$A$3:$L$333,2,0)&amp;""</f>
        <v>Does your application automatically lock or log-out an account after a period of inactivity?</v>
      </c>
      <c r="D199" s="311" t="str">
        <f aca="false">VLOOKUP($A199,Questions!$A$3:$L$333,11,0)&amp;""</f>
        <v/>
      </c>
      <c r="E199" s="311" t="str">
        <f aca="false">VLOOKUP($A199,Questions!$A$3:$L$333,12,0)&amp;""</f>
        <v>Case-specific</v>
      </c>
      <c r="F199" s="311" t="str">
        <f aca="false">VLOOKUP($A199,'Institution Evaluation'!$A$56:$K$346,3,0)&amp;""</f>
        <v/>
      </c>
      <c r="G199" s="311" t="str">
        <f aca="false">VLOOKUP($A199,'Institution Evaluation'!$A$56:$K$346,7,0)&amp;""</f>
        <v>Yes</v>
      </c>
      <c r="H199" s="311" t="str">
        <f aca="false">VLOOKUP($A199,'Institution Evaluation'!$A$56:$K$346,8,0)&amp;""</f>
        <v/>
      </c>
      <c r="I199" s="311" t="str">
        <f aca="false">VLOOKUP($A199,'Institution Evaluation'!$A$56:$K$346,9,0)&amp;""</f>
        <v>Standard Importance</v>
      </c>
      <c r="J199" s="311" t="str">
        <f aca="false">VLOOKUP($A199,'Institution Evaluation'!$A$56:$K$346,10,0)&amp;""</f>
        <v/>
      </c>
      <c r="K199" s="311" t="n">
        <f aca="false">IF($I199="Critical Importance",20,IF($I199="Minor Importance",5,10))</f>
        <v>10</v>
      </c>
      <c r="L199" s="283" t="n">
        <f aca="false">IF($E199="Not Scored", "N/A",IF(AND($D199='Auto Responses'!$J$27,$H199=""),"N/A",IF(AND($D199='Auto Responses'!$J$27,$H199='Auto Responses'!$J$7),1,IF(AND($D199='Auto Responses'!$J$27,$H199='Auto Responses'!$J$8),0,IF(OR($F199=$G199,$H199='Auto Responses'!$J$7),1,0)))))</f>
        <v>0</v>
      </c>
      <c r="M199" s="311" t="str">
        <f aca="false">VLOOKUP($A199,'Institution Evaluation'!$A$56:$K$346,10,0)&amp;""</f>
        <v/>
      </c>
      <c r="N199" s="311" t="n">
        <f aca="false">IF($J199="Critical Importance",1,IF(AND($J199="",$I199="Critical Importance"),1,0))</f>
        <v>0</v>
      </c>
      <c r="O199" s="283" t="str">
        <f aca="false">IF(OR($F$21="No",$E199="Not Scored"),"N/A",IF($J199="",$K199,IF($J199="Minor Importance",5,IF($J199="Standard Importance",10,IF($J199="Critical Importance",20,0)))))</f>
        <v>N/A</v>
      </c>
      <c r="P199" s="283" t="str">
        <f aca="false">IF(OR($O199="N/A",$L199="N/A"),"N/A",$O199*$L199)</f>
        <v>N/A</v>
      </c>
      <c r="Q199" s="283" t="n">
        <f aca="false">IF(M199="TRUE",1,0)</f>
        <v>0</v>
      </c>
      <c r="R199" s="283" t="n">
        <f aca="false">R198+Q199</f>
        <v>0</v>
      </c>
      <c r="S199" s="283" t="n">
        <f aca="false">IF(Q199=0,0,R199)</f>
        <v>0</v>
      </c>
      <c r="T199" s="283" t="n">
        <f aca="false">IF(N199=1,1,0)</f>
        <v>0</v>
      </c>
      <c r="U199" s="283" t="n">
        <f aca="false">U198+T199</f>
        <v>60</v>
      </c>
      <c r="V199" s="283" t="n">
        <f aca="false">IF(T199=0,0,U199)</f>
        <v>0</v>
      </c>
    </row>
    <row r="200" customFormat="false" ht="39.55" hidden="false" customHeight="false" outlineLevel="0" collapsed="false">
      <c r="A200" s="311" t="str">
        <f aca="false">Questions!$A200</f>
        <v>HIPA-14</v>
      </c>
      <c r="B200" s="311" t="str">
        <f aca="false">LEFT(A200,4)</f>
        <v>HIPA</v>
      </c>
      <c r="C200" s="311" t="str">
        <f aca="false">VLOOKUP($A200,Questions!$A$3:$L$333,2,0)&amp;""</f>
        <v>Are passwords visible in plain text, whether when stored or entered, including service level accounts (i.e., database accounts, etc.)?</v>
      </c>
      <c r="D200" s="311" t="str">
        <f aca="false">VLOOKUP($A200,Questions!$A$3:$L$333,11,0)&amp;""</f>
        <v/>
      </c>
      <c r="E200" s="311" t="str">
        <f aca="false">VLOOKUP($A200,Questions!$A$3:$L$333,12,0)&amp;""</f>
        <v>Case-specific</v>
      </c>
      <c r="F200" s="311" t="str">
        <f aca="false">VLOOKUP($A200,'Institution Evaluation'!$A$56:$K$346,3,0)&amp;""</f>
        <v/>
      </c>
      <c r="G200" s="311" t="str">
        <f aca="false">VLOOKUP($A200,'Institution Evaluation'!$A$56:$K$346,7,0)&amp;""</f>
        <v>No</v>
      </c>
      <c r="H200" s="311" t="str">
        <f aca="false">VLOOKUP($A200,'Institution Evaluation'!$A$56:$K$346,8,0)&amp;""</f>
        <v/>
      </c>
      <c r="I200" s="311" t="str">
        <f aca="false">VLOOKUP($A200,'Institution Evaluation'!$A$56:$K$346,9,0)&amp;""</f>
        <v>Standard Importance</v>
      </c>
      <c r="J200" s="311" t="str">
        <f aca="false">VLOOKUP($A200,'Institution Evaluation'!$A$56:$K$346,10,0)&amp;""</f>
        <v/>
      </c>
      <c r="K200" s="311" t="n">
        <f aca="false">IF($I200="Critical Importance",20,IF($I200="Minor Importance",5,10))</f>
        <v>10</v>
      </c>
      <c r="L200" s="283" t="n">
        <f aca="false">IF($E200="Not Scored", "N/A",IF(AND($D200='Auto Responses'!$J$27,$H200=""),"N/A",IF(AND($D200='Auto Responses'!$J$27,$H200='Auto Responses'!$J$7),1,IF(AND($D200='Auto Responses'!$J$27,$H200='Auto Responses'!$J$8),0,IF(OR($F200=$G200,$H200='Auto Responses'!$J$7),1,0)))))</f>
        <v>0</v>
      </c>
      <c r="M200" s="311" t="str">
        <f aca="false">VLOOKUP($A200,'Institution Evaluation'!$A$56:$K$346,10,0)&amp;""</f>
        <v/>
      </c>
      <c r="N200" s="311" t="n">
        <f aca="false">IF($J200="Critical Importance",1,IF(AND($J200="",$I200="Critical Importance"),1,0))</f>
        <v>0</v>
      </c>
      <c r="O200" s="283" t="str">
        <f aca="false">IF(OR($F$21="No",$E200="Not Scored"),"N/A",IF($J200="",$K200,IF($J200="Minor Importance",5,IF($J200="Standard Importance",10,IF($J200="Critical Importance",20,0)))))</f>
        <v>N/A</v>
      </c>
      <c r="P200" s="283" t="str">
        <f aca="false">IF(OR($O200="N/A",$L200="N/A"),"N/A",$O200*$L200)</f>
        <v>N/A</v>
      </c>
      <c r="Q200" s="283" t="n">
        <f aca="false">IF(M200="TRUE",1,0)</f>
        <v>0</v>
      </c>
      <c r="R200" s="283" t="n">
        <f aca="false">R199+Q200</f>
        <v>0</v>
      </c>
      <c r="S200" s="283" t="n">
        <f aca="false">IF(Q200=0,0,R200)</f>
        <v>0</v>
      </c>
      <c r="T200" s="283" t="n">
        <f aca="false">IF(N200=1,1,0)</f>
        <v>0</v>
      </c>
      <c r="U200" s="283" t="n">
        <f aca="false">U199+T200</f>
        <v>60</v>
      </c>
      <c r="V200" s="283" t="n">
        <f aca="false">IF(T200=0,0,U200)</f>
        <v>0</v>
      </c>
    </row>
    <row r="201" customFormat="false" ht="39.55" hidden="false" customHeight="false" outlineLevel="0" collapsed="false">
      <c r="A201" s="311" t="str">
        <f aca="false">Questions!$A201</f>
        <v>HIPA-15</v>
      </c>
      <c r="B201" s="311" t="str">
        <f aca="false">LEFT(A201,4)</f>
        <v>HIPA</v>
      </c>
      <c r="C201" s="311" t="str">
        <f aca="false">VLOOKUP($A201,Questions!$A$3:$L$333,2,0)&amp;""</f>
        <v>If the application is institution-hosted, can all service level and administrative account passwords be changed by the institution?</v>
      </c>
      <c r="D201" s="311" t="str">
        <f aca="false">VLOOKUP($A201,Questions!$A$3:$L$333,11,0)&amp;""</f>
        <v/>
      </c>
      <c r="E201" s="311" t="str">
        <f aca="false">VLOOKUP($A201,Questions!$A$3:$L$333,12,0)&amp;""</f>
        <v>Case-specific</v>
      </c>
      <c r="F201" s="311" t="str">
        <f aca="false">VLOOKUP($A201,'Institution Evaluation'!$A$56:$K$346,3,0)&amp;""</f>
        <v/>
      </c>
      <c r="G201" s="311" t="str">
        <f aca="false">VLOOKUP($A201,'Institution Evaluation'!$A$56:$K$346,7,0)&amp;""</f>
        <v>Yes</v>
      </c>
      <c r="H201" s="311" t="str">
        <f aca="false">VLOOKUP($A201,'Institution Evaluation'!$A$56:$K$346,8,0)&amp;""</f>
        <v/>
      </c>
      <c r="I201" s="311" t="str">
        <f aca="false">VLOOKUP($A201,'Institution Evaluation'!$A$56:$K$346,9,0)&amp;""</f>
        <v>Standard Importance</v>
      </c>
      <c r="J201" s="311" t="str">
        <f aca="false">VLOOKUP($A201,'Institution Evaluation'!$A$56:$K$346,10,0)&amp;""</f>
        <v/>
      </c>
      <c r="K201" s="311" t="n">
        <f aca="false">IF($I201="Critical Importance",20,IF($I201="Minor Importance",5,10))</f>
        <v>10</v>
      </c>
      <c r="L201" s="283" t="n">
        <f aca="false">IF($E201="Not Scored", "N/A",IF(AND($D201='Auto Responses'!$J$27,$H201=""),"N/A",IF(AND($D201='Auto Responses'!$J$27,$H201='Auto Responses'!$J$7),1,IF(AND($D201='Auto Responses'!$J$27,$H201='Auto Responses'!$J$8),0,IF(OR($F201=$G201,$H201='Auto Responses'!$J$7),1,0)))))</f>
        <v>0</v>
      </c>
      <c r="M201" s="311" t="str">
        <f aca="false">VLOOKUP($A201,'Institution Evaluation'!$A$56:$K$346,10,0)&amp;""</f>
        <v/>
      </c>
      <c r="N201" s="311" t="n">
        <f aca="false">IF($J201="Critical Importance",1,IF(AND($J201="",$I201="Critical Importance"),1,0))</f>
        <v>0</v>
      </c>
      <c r="O201" s="283" t="str">
        <f aca="false">IF(OR($F$21="No",$E201="Not Scored"),"N/A",IF($J201="",$K201,IF($J201="Minor Importance",5,IF($J201="Standard Importance",10,IF($J201="Critical Importance",20,0)))))</f>
        <v>N/A</v>
      </c>
      <c r="P201" s="283" t="str">
        <f aca="false">IF(OR($O201="N/A",$L201="N/A"),"N/A",$O201*$L201)</f>
        <v>N/A</v>
      </c>
      <c r="Q201" s="283" t="n">
        <f aca="false">IF(M201="TRUE",1,0)</f>
        <v>0</v>
      </c>
      <c r="R201" s="283" t="n">
        <f aca="false">R200+Q201</f>
        <v>0</v>
      </c>
      <c r="S201" s="283" t="n">
        <f aca="false">IF(Q201=0,0,R201)</f>
        <v>0</v>
      </c>
      <c r="T201" s="283" t="n">
        <f aca="false">IF(N201=1,1,0)</f>
        <v>0</v>
      </c>
      <c r="U201" s="283" t="n">
        <f aca="false">U200+T201</f>
        <v>60</v>
      </c>
      <c r="V201" s="283" t="n">
        <f aca="false">IF(T201=0,0,U201)</f>
        <v>0</v>
      </c>
    </row>
    <row r="202" customFormat="false" ht="26.85" hidden="false" customHeight="false" outlineLevel="0" collapsed="false">
      <c r="A202" s="311" t="str">
        <f aca="false">Questions!$A202</f>
        <v>HIPA-16</v>
      </c>
      <c r="B202" s="311" t="str">
        <f aca="false">LEFT(A202,4)</f>
        <v>HIPA</v>
      </c>
      <c r="C202" s="311" t="str">
        <f aca="false">VLOOKUP($A202,Questions!$A$3:$L$333,2,0)&amp;""</f>
        <v>Does your application provide the ability to define user access levels?</v>
      </c>
      <c r="D202" s="311" t="str">
        <f aca="false">VLOOKUP($A202,Questions!$A$3:$L$333,11,0)&amp;""</f>
        <v/>
      </c>
      <c r="E202" s="311" t="str">
        <f aca="false">VLOOKUP($A202,Questions!$A$3:$L$333,12,0)&amp;""</f>
        <v>Case-specific</v>
      </c>
      <c r="F202" s="311" t="str">
        <f aca="false">VLOOKUP($A202,'Institution Evaluation'!$A$56:$K$346,3,0)&amp;""</f>
        <v/>
      </c>
      <c r="G202" s="311" t="str">
        <f aca="false">VLOOKUP($A202,'Institution Evaluation'!$A$56:$K$346,7,0)&amp;""</f>
        <v>Yes</v>
      </c>
      <c r="H202" s="311" t="str">
        <f aca="false">VLOOKUP($A202,'Institution Evaluation'!$A$56:$K$346,8,0)&amp;""</f>
        <v/>
      </c>
      <c r="I202" s="311" t="str">
        <f aca="false">VLOOKUP($A202,'Institution Evaluation'!$A$56:$K$346,9,0)&amp;""</f>
        <v>Standard Importance</v>
      </c>
      <c r="J202" s="311" t="str">
        <f aca="false">VLOOKUP($A202,'Institution Evaluation'!$A$56:$K$346,10,0)&amp;""</f>
        <v/>
      </c>
      <c r="K202" s="311" t="n">
        <f aca="false">IF($I202="Critical Importance",20,IF($I202="Minor Importance",5,10))</f>
        <v>10</v>
      </c>
      <c r="L202" s="283" t="n">
        <f aca="false">IF($E202="Not Scored", "N/A",IF(AND($D202='Auto Responses'!$J$27,$H202=""),"N/A",IF(AND($D202='Auto Responses'!$J$27,$H202='Auto Responses'!$J$7),1,IF(AND($D202='Auto Responses'!$J$27,$H202='Auto Responses'!$J$8),0,IF(OR($F202=$G202,$H202='Auto Responses'!$J$7),1,0)))))</f>
        <v>0</v>
      </c>
      <c r="M202" s="311" t="str">
        <f aca="false">VLOOKUP($A202,'Institution Evaluation'!$A$56:$K$346,10,0)&amp;""</f>
        <v/>
      </c>
      <c r="N202" s="311" t="n">
        <f aca="false">IF($J202="Critical Importance",1,IF(AND($J202="",$I202="Critical Importance"),1,0))</f>
        <v>0</v>
      </c>
      <c r="O202" s="283" t="str">
        <f aca="false">IF(OR($F$21="No",$E202="Not Scored"),"N/A",IF($J202="",$K202,IF($J202="Minor Importance",5,IF($J202="Standard Importance",10,IF($J202="Critical Importance",20,0)))))</f>
        <v>N/A</v>
      </c>
      <c r="P202" s="283" t="str">
        <f aca="false">IF(OR($O202="N/A",$L202="N/A"),"N/A",$O202*$L202)</f>
        <v>N/A</v>
      </c>
      <c r="Q202" s="283" t="n">
        <f aca="false">IF(M202="TRUE",1,0)</f>
        <v>0</v>
      </c>
      <c r="R202" s="283" t="n">
        <f aca="false">R201+Q202</f>
        <v>0</v>
      </c>
      <c r="S202" s="283" t="n">
        <f aca="false">IF(Q202=0,0,R202)</f>
        <v>0</v>
      </c>
      <c r="T202" s="283" t="n">
        <f aca="false">IF(N202=1,1,0)</f>
        <v>0</v>
      </c>
      <c r="U202" s="283" t="n">
        <f aca="false">U201+T202</f>
        <v>60</v>
      </c>
      <c r="V202" s="283" t="n">
        <f aca="false">IF(T202=0,0,U202)</f>
        <v>0</v>
      </c>
    </row>
    <row r="203" customFormat="false" ht="39.55" hidden="false" customHeight="false" outlineLevel="0" collapsed="false">
      <c r="A203" s="311" t="str">
        <f aca="false">Questions!$A203</f>
        <v>HIPA-17</v>
      </c>
      <c r="B203" s="311" t="str">
        <f aca="false">LEFT(A203,4)</f>
        <v>HIPA</v>
      </c>
      <c r="C203" s="311" t="str">
        <f aca="false">VLOOKUP($A203,Questions!$A$3:$L$333,2,0)&amp;""</f>
        <v>Does your application support varying levels of access to administrative tasks defined individually per user?</v>
      </c>
      <c r="D203" s="311" t="str">
        <f aca="false">VLOOKUP($A203,Questions!$A$3:$L$333,11,0)&amp;""</f>
        <v/>
      </c>
      <c r="E203" s="311" t="str">
        <f aca="false">VLOOKUP($A203,Questions!$A$3:$L$333,12,0)&amp;""</f>
        <v>Case-specific</v>
      </c>
      <c r="F203" s="311" t="str">
        <f aca="false">VLOOKUP($A203,'Institution Evaluation'!$A$56:$K$346,3,0)&amp;""</f>
        <v/>
      </c>
      <c r="G203" s="311" t="str">
        <f aca="false">VLOOKUP($A203,'Institution Evaluation'!$A$56:$K$346,7,0)&amp;""</f>
        <v>Yes</v>
      </c>
      <c r="H203" s="311" t="str">
        <f aca="false">VLOOKUP($A203,'Institution Evaluation'!$A$56:$K$346,8,0)&amp;""</f>
        <v/>
      </c>
      <c r="I203" s="311" t="str">
        <f aca="false">VLOOKUP($A203,'Institution Evaluation'!$A$56:$K$346,9,0)&amp;""</f>
        <v>Standard Importance</v>
      </c>
      <c r="J203" s="311" t="str">
        <f aca="false">VLOOKUP($A203,'Institution Evaluation'!$A$56:$K$346,10,0)&amp;""</f>
        <v/>
      </c>
      <c r="K203" s="311" t="n">
        <f aca="false">IF($I203="Critical Importance",20,IF($I203="Minor Importance",5,10))</f>
        <v>10</v>
      </c>
      <c r="L203" s="283" t="n">
        <f aca="false">IF($E203="Not Scored", "N/A",IF(AND($D203='Auto Responses'!$J$27,$H203=""),"N/A",IF(AND($D203='Auto Responses'!$J$27,$H203='Auto Responses'!$J$7),1,IF(AND($D203='Auto Responses'!$J$27,$H203='Auto Responses'!$J$8),0,IF(OR($F203=$G203,$H203='Auto Responses'!$J$7),1,0)))))</f>
        <v>0</v>
      </c>
      <c r="M203" s="311" t="str">
        <f aca="false">VLOOKUP($A203,'Institution Evaluation'!$A$56:$K$346,10,0)&amp;""</f>
        <v/>
      </c>
      <c r="N203" s="311" t="n">
        <f aca="false">IF($J203="Critical Importance",1,IF(AND($J203="",$I203="Critical Importance"),1,0))</f>
        <v>0</v>
      </c>
      <c r="O203" s="283" t="str">
        <f aca="false">IF(OR($F$21="No",$E203="Not Scored"),"N/A",IF($J203="",$K203,IF($J203="Minor Importance",5,IF($J203="Standard Importance",10,IF($J203="Critical Importance",20,0)))))</f>
        <v>N/A</v>
      </c>
      <c r="P203" s="283" t="str">
        <f aca="false">IF(OR($O203="N/A",$L203="N/A"),"N/A",$O203*$L203)</f>
        <v>N/A</v>
      </c>
      <c r="Q203" s="283" t="n">
        <f aca="false">IF(M203="TRUE",1,0)</f>
        <v>0</v>
      </c>
      <c r="R203" s="283" t="n">
        <f aca="false">R202+Q203</f>
        <v>0</v>
      </c>
      <c r="S203" s="283" t="n">
        <f aca="false">IF(Q203=0,0,R203)</f>
        <v>0</v>
      </c>
      <c r="T203" s="283" t="n">
        <f aca="false">IF(N203=1,1,0)</f>
        <v>0</v>
      </c>
      <c r="U203" s="283" t="n">
        <f aca="false">U202+T203</f>
        <v>60</v>
      </c>
      <c r="V203" s="283" t="n">
        <f aca="false">IF(T203=0,0,U203)</f>
        <v>0</v>
      </c>
    </row>
    <row r="204" customFormat="false" ht="26.85" hidden="false" customHeight="false" outlineLevel="0" collapsed="false">
      <c r="A204" s="311" t="str">
        <f aca="false">Questions!$A204</f>
        <v>HIPA-18</v>
      </c>
      <c r="B204" s="311" t="str">
        <f aca="false">LEFT(A204,4)</f>
        <v>HIPA</v>
      </c>
      <c r="C204" s="311" t="str">
        <f aca="false">VLOOKUP($A204,Questions!$A$3:$L$333,2,0)&amp;""</f>
        <v>Does your application support varying levels of access to records based on user ID?</v>
      </c>
      <c r="D204" s="311" t="str">
        <f aca="false">VLOOKUP($A204,Questions!$A$3:$L$333,11,0)&amp;""</f>
        <v/>
      </c>
      <c r="E204" s="311" t="str">
        <f aca="false">VLOOKUP($A204,Questions!$A$3:$L$333,12,0)&amp;""</f>
        <v>Case-specific</v>
      </c>
      <c r="F204" s="311" t="str">
        <f aca="false">VLOOKUP($A204,'Institution Evaluation'!$A$56:$K$346,3,0)&amp;""</f>
        <v/>
      </c>
      <c r="G204" s="311" t="str">
        <f aca="false">VLOOKUP($A204,'Institution Evaluation'!$A$56:$K$346,7,0)&amp;""</f>
        <v>No</v>
      </c>
      <c r="H204" s="311" t="str">
        <f aca="false">VLOOKUP($A204,'Institution Evaluation'!$A$56:$K$346,8,0)&amp;""</f>
        <v/>
      </c>
      <c r="I204" s="311" t="str">
        <f aca="false">VLOOKUP($A204,'Institution Evaluation'!$A$56:$K$346,9,0)&amp;""</f>
        <v>Standard Importance</v>
      </c>
      <c r="J204" s="311" t="str">
        <f aca="false">VLOOKUP($A204,'Institution Evaluation'!$A$56:$K$346,10,0)&amp;""</f>
        <v/>
      </c>
      <c r="K204" s="311" t="n">
        <f aca="false">IF($I204="Critical Importance",20,IF($I204="Minor Importance",5,10))</f>
        <v>10</v>
      </c>
      <c r="L204" s="283" t="n">
        <f aca="false">IF($E204="Not Scored", "N/A",IF(AND($D204='Auto Responses'!$J$27,$H204=""),"N/A",IF(AND($D204='Auto Responses'!$J$27,$H204='Auto Responses'!$J$7),1,IF(AND($D204='Auto Responses'!$J$27,$H204='Auto Responses'!$J$8),0,IF(OR($F204=$G204,$H204='Auto Responses'!$J$7),1,0)))))</f>
        <v>0</v>
      </c>
      <c r="M204" s="311" t="str">
        <f aca="false">VLOOKUP($A204,'Institution Evaluation'!$A$56:$K$346,10,0)&amp;""</f>
        <v/>
      </c>
      <c r="N204" s="311" t="n">
        <f aca="false">IF($J204="Critical Importance",1,IF(AND($J204="",$I204="Critical Importance"),1,0))</f>
        <v>0</v>
      </c>
      <c r="O204" s="283" t="str">
        <f aca="false">IF(OR($F$21="No",$E204="Not Scored"),"N/A",IF($J204="",$K204,IF($J204="Minor Importance",5,IF($J204="Standard Importance",10,IF($J204="Critical Importance",20,0)))))</f>
        <v>N/A</v>
      </c>
      <c r="P204" s="283" t="str">
        <f aca="false">IF(OR($O204="N/A",$L204="N/A"),"N/A",$O204*$L204)</f>
        <v>N/A</v>
      </c>
      <c r="Q204" s="283" t="n">
        <f aca="false">IF(M204="TRUE",1,0)</f>
        <v>0</v>
      </c>
      <c r="R204" s="283" t="n">
        <f aca="false">R203+Q204</f>
        <v>0</v>
      </c>
      <c r="S204" s="283" t="n">
        <f aca="false">IF(Q204=0,0,R204)</f>
        <v>0</v>
      </c>
      <c r="T204" s="283" t="n">
        <f aca="false">IF(N204=1,1,0)</f>
        <v>0</v>
      </c>
      <c r="U204" s="283" t="n">
        <f aca="false">U203+T204</f>
        <v>60</v>
      </c>
      <c r="V204" s="283" t="n">
        <f aca="false">IF(T204=0,0,U204)</f>
        <v>0</v>
      </c>
    </row>
    <row r="205" customFormat="false" ht="26.85" hidden="false" customHeight="false" outlineLevel="0" collapsed="false">
      <c r="A205" s="311" t="str">
        <f aca="false">Questions!$A205</f>
        <v>HIPA-19</v>
      </c>
      <c r="B205" s="311" t="str">
        <f aca="false">LEFT(A205,4)</f>
        <v>HIPA</v>
      </c>
      <c r="C205" s="311" t="str">
        <f aca="false">VLOOKUP($A205,Questions!$A$3:$L$333,2,0)&amp;""</f>
        <v>Is there a limit to the number of groups to which a user can be assigned?</v>
      </c>
      <c r="D205" s="311" t="str">
        <f aca="false">VLOOKUP($A205,Questions!$A$3:$L$333,11,0)&amp;""</f>
        <v/>
      </c>
      <c r="E205" s="311" t="str">
        <f aca="false">VLOOKUP($A205,Questions!$A$3:$L$333,12,0)&amp;""</f>
        <v>Case-specific</v>
      </c>
      <c r="F205" s="311" t="str">
        <f aca="false">VLOOKUP($A205,'Institution Evaluation'!$A$56:$K$346,3,0)&amp;""</f>
        <v/>
      </c>
      <c r="G205" s="311" t="str">
        <f aca="false">VLOOKUP($A205,'Institution Evaluation'!$A$56:$K$346,7,0)&amp;""</f>
        <v>Yes</v>
      </c>
      <c r="H205" s="311" t="str">
        <f aca="false">VLOOKUP($A205,'Institution Evaluation'!$A$56:$K$346,8,0)&amp;""</f>
        <v/>
      </c>
      <c r="I205" s="311" t="str">
        <f aca="false">VLOOKUP($A205,'Institution Evaluation'!$A$56:$K$346,9,0)&amp;""</f>
        <v>Standard Importance</v>
      </c>
      <c r="J205" s="311" t="str">
        <f aca="false">VLOOKUP($A205,'Institution Evaluation'!$A$56:$K$346,10,0)&amp;""</f>
        <v/>
      </c>
      <c r="K205" s="311" t="n">
        <f aca="false">IF($I205="Critical Importance",20,IF($I205="Minor Importance",5,10))</f>
        <v>10</v>
      </c>
      <c r="L205" s="283" t="n">
        <f aca="false">IF($E205="Not Scored", "N/A",IF(AND($D205='Auto Responses'!$J$27,$H205=""),"N/A",IF(AND($D205='Auto Responses'!$J$27,$H205='Auto Responses'!$J$7),1,IF(AND($D205='Auto Responses'!$J$27,$H205='Auto Responses'!$J$8),0,IF(OR($F205=$G205,$H205='Auto Responses'!$J$7),1,0)))))</f>
        <v>0</v>
      </c>
      <c r="M205" s="311" t="str">
        <f aca="false">VLOOKUP($A205,'Institution Evaluation'!$A$56:$K$346,10,0)&amp;""</f>
        <v/>
      </c>
      <c r="N205" s="311" t="n">
        <f aca="false">IF($J205="Critical Importance",1,IF(AND($J205="",$I205="Critical Importance"),1,0))</f>
        <v>0</v>
      </c>
      <c r="O205" s="283" t="str">
        <f aca="false">IF(OR($F$21="No",$E205="Not Scored"),"N/A",IF($J205="",$K205,IF($J205="Minor Importance",5,IF($J205="Standard Importance",10,IF($J205="Critical Importance",20,0)))))</f>
        <v>N/A</v>
      </c>
      <c r="P205" s="283" t="str">
        <f aca="false">IF(OR($O205="N/A",$L205="N/A"),"N/A",$O205*$L205)</f>
        <v>N/A</v>
      </c>
      <c r="Q205" s="283" t="n">
        <f aca="false">IF(M205="TRUE",1,0)</f>
        <v>0</v>
      </c>
      <c r="R205" s="283" t="n">
        <f aca="false">R204+Q205</f>
        <v>0</v>
      </c>
      <c r="S205" s="283" t="n">
        <f aca="false">IF(Q205=0,0,R205)</f>
        <v>0</v>
      </c>
      <c r="T205" s="283" t="n">
        <f aca="false">IF(N205=1,1,0)</f>
        <v>0</v>
      </c>
      <c r="U205" s="283" t="n">
        <f aca="false">U204+T205</f>
        <v>60</v>
      </c>
      <c r="V205" s="283" t="n">
        <f aca="false">IF(T205=0,0,U205)</f>
        <v>0</v>
      </c>
    </row>
    <row r="206" customFormat="false" ht="52.2" hidden="false" customHeight="false" outlineLevel="0" collapsed="false">
      <c r="A206" s="311" t="str">
        <f aca="false">Questions!$A206</f>
        <v>HIPA-20</v>
      </c>
      <c r="B206" s="311" t="str">
        <f aca="false">LEFT(A206,4)</f>
        <v>HIPA</v>
      </c>
      <c r="C206" s="311" t="str">
        <f aca="false">VLOOKUP($A206,Questions!$A$3:$L$333,2,0)&amp;""</f>
        <v>Do accounts used for solution provider-supplied remote support abide by the same authentication policies and access logging as the rest of the system?</v>
      </c>
      <c r="D206" s="311" t="str">
        <f aca="false">VLOOKUP($A206,Questions!$A$3:$L$333,11,0)&amp;""</f>
        <v/>
      </c>
      <c r="E206" s="311" t="str">
        <f aca="false">VLOOKUP($A206,Questions!$A$3:$L$333,12,0)&amp;""</f>
        <v>Case-specific</v>
      </c>
      <c r="F206" s="311" t="str">
        <f aca="false">VLOOKUP($A206,'Institution Evaluation'!$A$56:$K$346,3,0)&amp;""</f>
        <v/>
      </c>
      <c r="G206" s="311" t="str">
        <f aca="false">VLOOKUP($A206,'Institution Evaluation'!$A$56:$K$346,7,0)&amp;""</f>
        <v>Yes</v>
      </c>
      <c r="H206" s="311" t="str">
        <f aca="false">VLOOKUP($A206,'Institution Evaluation'!$A$56:$K$346,8,0)&amp;""</f>
        <v/>
      </c>
      <c r="I206" s="311" t="str">
        <f aca="false">VLOOKUP($A206,'Institution Evaluation'!$A$56:$K$346,9,0)&amp;""</f>
        <v>Standard Importance</v>
      </c>
      <c r="J206" s="311" t="str">
        <f aca="false">VLOOKUP($A206,'Institution Evaluation'!$A$56:$K$346,10,0)&amp;""</f>
        <v/>
      </c>
      <c r="K206" s="311" t="n">
        <f aca="false">IF($I206="Critical Importance",20,IF($I206="Minor Importance",5,10))</f>
        <v>10</v>
      </c>
      <c r="L206" s="283" t="n">
        <f aca="false">IF($E206="Not Scored", "N/A",IF(AND($D206='Auto Responses'!$J$27,$H206=""),"N/A",IF(AND($D206='Auto Responses'!$J$27,$H206='Auto Responses'!$J$7),1,IF(AND($D206='Auto Responses'!$J$27,$H206='Auto Responses'!$J$8),0,IF(OR($F206=$G206,$H206='Auto Responses'!$J$7),1,0)))))</f>
        <v>0</v>
      </c>
      <c r="M206" s="311" t="str">
        <f aca="false">VLOOKUP($A206,'Institution Evaluation'!$A$56:$K$346,10,0)&amp;""</f>
        <v/>
      </c>
      <c r="N206" s="311" t="n">
        <f aca="false">IF($J206="Critical Importance",1,IF(AND($J206="",$I206="Critical Importance"),1,0))</f>
        <v>0</v>
      </c>
      <c r="O206" s="283" t="str">
        <f aca="false">IF(OR($F$21="No",$E206="Not Scored"),"N/A",IF($J206="",$K206,IF($J206="Minor Importance",5,IF($J206="Standard Importance",10,IF($J206="Critical Importance",20,0)))))</f>
        <v>N/A</v>
      </c>
      <c r="P206" s="283" t="str">
        <f aca="false">IF(OR($O206="N/A",$L206="N/A"),"N/A",$O206*$L206)</f>
        <v>N/A</v>
      </c>
      <c r="Q206" s="283" t="n">
        <f aca="false">IF(M206="TRUE",1,0)</f>
        <v>0</v>
      </c>
      <c r="R206" s="283" t="n">
        <f aca="false">R205+Q206</f>
        <v>0</v>
      </c>
      <c r="S206" s="283" t="n">
        <f aca="false">IF(Q206=0,0,R206)</f>
        <v>0</v>
      </c>
      <c r="T206" s="283" t="n">
        <f aca="false">IF(N206=1,1,0)</f>
        <v>0</v>
      </c>
      <c r="U206" s="283" t="n">
        <f aca="false">U205+T206</f>
        <v>60</v>
      </c>
      <c r="V206" s="283" t="n">
        <f aca="false">IF(T206=0,0,U206)</f>
        <v>0</v>
      </c>
    </row>
    <row r="207" customFormat="false" ht="39.55" hidden="false" customHeight="false" outlineLevel="0" collapsed="false">
      <c r="A207" s="311" t="str">
        <f aca="false">Questions!$A207</f>
        <v>HIPA-21</v>
      </c>
      <c r="B207" s="311" t="str">
        <f aca="false">LEFT(A207,4)</f>
        <v>HIPA</v>
      </c>
      <c r="C207" s="311" t="str">
        <f aca="false">VLOOKUP($A207,Questions!$A$3:$L$333,2,0)&amp;""</f>
        <v>Does the application log record access including specific user, date/time of access, and originating IP or device?</v>
      </c>
      <c r="D207" s="311" t="str">
        <f aca="false">VLOOKUP($A207,Questions!$A$3:$L$333,11,0)&amp;""</f>
        <v/>
      </c>
      <c r="E207" s="311" t="str">
        <f aca="false">VLOOKUP($A207,Questions!$A$3:$L$333,12,0)&amp;""</f>
        <v>Case-specific</v>
      </c>
      <c r="F207" s="311" t="str">
        <f aca="false">VLOOKUP($A207,'Institution Evaluation'!$A$56:$K$346,3,0)&amp;""</f>
        <v/>
      </c>
      <c r="G207" s="311" t="str">
        <f aca="false">VLOOKUP($A207,'Institution Evaluation'!$A$56:$K$346,7,0)&amp;""</f>
        <v>Yes</v>
      </c>
      <c r="H207" s="311" t="str">
        <f aca="false">VLOOKUP($A207,'Institution Evaluation'!$A$56:$K$346,8,0)&amp;""</f>
        <v/>
      </c>
      <c r="I207" s="311" t="str">
        <f aca="false">VLOOKUP($A207,'Institution Evaluation'!$A$56:$K$346,9,0)&amp;""</f>
        <v>Standard Importance</v>
      </c>
      <c r="J207" s="311" t="str">
        <f aca="false">VLOOKUP($A207,'Institution Evaluation'!$A$56:$K$346,10,0)&amp;""</f>
        <v/>
      </c>
      <c r="K207" s="311" t="n">
        <f aca="false">IF($I207="Critical Importance",20,IF($I207="Minor Importance",5,10))</f>
        <v>10</v>
      </c>
      <c r="L207" s="283" t="n">
        <f aca="false">IF($E207="Not Scored", "N/A",IF(AND($D207='Auto Responses'!$J$27,$H207=""),"N/A",IF(AND($D207='Auto Responses'!$J$27,$H207='Auto Responses'!$J$7),1,IF(AND($D207='Auto Responses'!$J$27,$H207='Auto Responses'!$J$8),0,IF(OR($F207=$G207,$H207='Auto Responses'!$J$7),1,0)))))</f>
        <v>0</v>
      </c>
      <c r="M207" s="311" t="str">
        <f aca="false">VLOOKUP($A207,'Institution Evaluation'!$A$56:$K$346,10,0)&amp;""</f>
        <v/>
      </c>
      <c r="N207" s="311" t="n">
        <f aca="false">IF($J207="Critical Importance",1,IF(AND($J207="",$I207="Critical Importance"),1,0))</f>
        <v>0</v>
      </c>
      <c r="O207" s="283" t="str">
        <f aca="false">IF(OR($F$21="No",$E207="Not Scored"),"N/A",IF($J207="",$K207,IF($J207="Minor Importance",5,IF($J207="Standard Importance",10,IF($J207="Critical Importance",20,0)))))</f>
        <v>N/A</v>
      </c>
      <c r="P207" s="283" t="str">
        <f aca="false">IF(OR($O207="N/A",$L207="N/A"),"N/A",$O207*$L207)</f>
        <v>N/A</v>
      </c>
      <c r="Q207" s="283" t="n">
        <f aca="false">IF(M207="TRUE",1,0)</f>
        <v>0</v>
      </c>
      <c r="R207" s="283" t="n">
        <f aca="false">R206+Q207</f>
        <v>0</v>
      </c>
      <c r="S207" s="283" t="n">
        <f aca="false">IF(Q207=0,0,R207)</f>
        <v>0</v>
      </c>
      <c r="T207" s="283" t="n">
        <f aca="false">IF(N207=1,1,0)</f>
        <v>0</v>
      </c>
      <c r="U207" s="283" t="n">
        <f aca="false">U206+T207</f>
        <v>60</v>
      </c>
      <c r="V207" s="283" t="n">
        <f aca="false">IF(T207=0,0,U207)</f>
        <v>0</v>
      </c>
    </row>
    <row r="208" customFormat="false" ht="64.9" hidden="false" customHeight="false" outlineLevel="0" collapsed="false">
      <c r="A208" s="311" t="str">
        <f aca="false">Questions!$A208</f>
        <v>HIPA-22</v>
      </c>
      <c r="B208" s="311" t="str">
        <f aca="false">LEFT(A208,4)</f>
        <v>HIPA</v>
      </c>
      <c r="C208" s="311" t="str">
        <f aca="false">VLOOKUP($A208,Questions!$A$3:$L$333,2,0)&amp;""</f>
        <v>Does the application log administrative activity, such as user account access changes and password changes, including specific user, date/time of changes, and originating IP or device?</v>
      </c>
      <c r="D208" s="311" t="str">
        <f aca="false">VLOOKUP($A208,Questions!$A$3:$L$333,11,0)&amp;""</f>
        <v/>
      </c>
      <c r="E208" s="311" t="str">
        <f aca="false">VLOOKUP($A208,Questions!$A$3:$L$333,12,0)&amp;""</f>
        <v>Case-specific</v>
      </c>
      <c r="F208" s="311" t="str">
        <f aca="false">VLOOKUP($A208,'Institution Evaluation'!$A$56:$K$346,3,0)&amp;""</f>
        <v/>
      </c>
      <c r="G208" s="311" t="str">
        <f aca="false">VLOOKUP($A208,'Institution Evaluation'!$A$56:$K$346,7,0)&amp;""</f>
        <v>Yes</v>
      </c>
      <c r="H208" s="311" t="str">
        <f aca="false">VLOOKUP($A208,'Institution Evaluation'!$A$56:$K$346,8,0)&amp;""</f>
        <v/>
      </c>
      <c r="I208" s="311" t="str">
        <f aca="false">VLOOKUP($A208,'Institution Evaluation'!$A$56:$K$346,9,0)&amp;""</f>
        <v>Standard Importance</v>
      </c>
      <c r="J208" s="311" t="str">
        <f aca="false">VLOOKUP($A208,'Institution Evaluation'!$A$56:$K$346,10,0)&amp;""</f>
        <v/>
      </c>
      <c r="K208" s="311" t="n">
        <f aca="false">IF($I208="Critical Importance",20,IF($I208="Minor Importance",5,10))</f>
        <v>10</v>
      </c>
      <c r="L208" s="283" t="n">
        <f aca="false">IF($E208="Not Scored", "N/A",IF(AND($D208='Auto Responses'!$J$27,$H208=""),"N/A",IF(AND($D208='Auto Responses'!$J$27,$H208='Auto Responses'!$J$7),1,IF(AND($D208='Auto Responses'!$J$27,$H208='Auto Responses'!$J$8),0,IF(OR($F208=$G208,$H208='Auto Responses'!$J$7),1,0)))))</f>
        <v>0</v>
      </c>
      <c r="M208" s="311" t="str">
        <f aca="false">VLOOKUP($A208,'Institution Evaluation'!$A$56:$K$346,10,0)&amp;""</f>
        <v/>
      </c>
      <c r="N208" s="311" t="n">
        <f aca="false">IF($J208="Critical Importance",1,IF(AND($J208="",$I208="Critical Importance"),1,0))</f>
        <v>0</v>
      </c>
      <c r="O208" s="283" t="str">
        <f aca="false">IF(OR($F$21="No",$E208="Not Scored"),"N/A",IF($J208="",$K208,IF($J208="Minor Importance",5,IF($J208="Standard Importance",10,IF($J208="Critical Importance",20,0)))))</f>
        <v>N/A</v>
      </c>
      <c r="P208" s="283" t="str">
        <f aca="false">IF(OR($O208="N/A",$L208="N/A"),"N/A",$O208*$L208)</f>
        <v>N/A</v>
      </c>
      <c r="Q208" s="283" t="n">
        <f aca="false">IF(M208="TRUE",1,0)</f>
        <v>0</v>
      </c>
      <c r="R208" s="283" t="n">
        <f aca="false">R207+Q208</f>
        <v>0</v>
      </c>
      <c r="S208" s="283" t="n">
        <f aca="false">IF(Q208=0,0,R208)</f>
        <v>0</v>
      </c>
      <c r="T208" s="283" t="n">
        <f aca="false">IF(N208=1,1,0)</f>
        <v>0</v>
      </c>
      <c r="U208" s="283" t="n">
        <f aca="false">U207+T208</f>
        <v>60</v>
      </c>
      <c r="V208" s="283" t="n">
        <f aca="false">IF(T208=0,0,U208)</f>
        <v>0</v>
      </c>
    </row>
    <row r="209" customFormat="false" ht="26.85" hidden="false" customHeight="false" outlineLevel="0" collapsed="false">
      <c r="A209" s="311" t="str">
        <f aca="false">Questions!$A209</f>
        <v>HIPA-23</v>
      </c>
      <c r="B209" s="311" t="str">
        <f aca="false">LEFT(A209,4)</f>
        <v>HIPA</v>
      </c>
      <c r="C209" s="311" t="str">
        <f aca="false">VLOOKUP($A209,Questions!$A$3:$L$333,2,0)&amp;""</f>
        <v>Do you retain logs for at least as long as required by HIPAA regulations?</v>
      </c>
      <c r="D209" s="311" t="str">
        <f aca="false">VLOOKUP($A209,Questions!$A$3:$L$333,11,0)&amp;""</f>
        <v/>
      </c>
      <c r="E209" s="311" t="str">
        <f aca="false">VLOOKUP($A209,Questions!$A$3:$L$333,12,0)&amp;""</f>
        <v>Case-specific</v>
      </c>
      <c r="F209" s="311" t="str">
        <f aca="false">VLOOKUP($A209,'Institution Evaluation'!$A$56:$K$346,3,0)&amp;""</f>
        <v/>
      </c>
      <c r="G209" s="311" t="str">
        <f aca="false">VLOOKUP($A209,'Institution Evaluation'!$A$56:$K$346,7,0)&amp;""</f>
        <v>Yes</v>
      </c>
      <c r="H209" s="311" t="str">
        <f aca="false">VLOOKUP($A209,'Institution Evaluation'!$A$56:$K$346,8,0)&amp;""</f>
        <v/>
      </c>
      <c r="I209" s="311" t="str">
        <f aca="false">VLOOKUP($A209,'Institution Evaluation'!$A$56:$K$346,9,0)&amp;""</f>
        <v>Standard Importance</v>
      </c>
      <c r="J209" s="311" t="str">
        <f aca="false">VLOOKUP($A209,'Institution Evaluation'!$A$56:$K$346,10,0)&amp;""</f>
        <v/>
      </c>
      <c r="K209" s="311" t="n">
        <f aca="false">IF($I209="Critical Importance",20,IF($I209="Minor Importance",5,10))</f>
        <v>10</v>
      </c>
      <c r="L209" s="283" t="n">
        <f aca="false">IF($E209="Not Scored", "N/A",IF(AND($D209='Auto Responses'!$J$27,$H209=""),"N/A",IF(AND($D209='Auto Responses'!$J$27,$H209='Auto Responses'!$J$7),1,IF(AND($D209='Auto Responses'!$J$27,$H209='Auto Responses'!$J$8),0,IF(OR($F209=$G209,$H209='Auto Responses'!$J$7),1,0)))))</f>
        <v>0</v>
      </c>
      <c r="M209" s="311" t="str">
        <f aca="false">VLOOKUP($A209,'Institution Evaluation'!$A$56:$K$346,10,0)&amp;""</f>
        <v/>
      </c>
      <c r="N209" s="311" t="n">
        <f aca="false">IF($J209="Critical Importance",1,IF(AND($J209="",$I209="Critical Importance"),1,0))</f>
        <v>0</v>
      </c>
      <c r="O209" s="283" t="str">
        <f aca="false">IF(OR($F$21="No",$E209="Not Scored"),"N/A",IF($J209="",$K209,IF($J209="Minor Importance",5,IF($J209="Standard Importance",10,IF($J209="Critical Importance",20,0)))))</f>
        <v>N/A</v>
      </c>
      <c r="P209" s="283" t="str">
        <f aca="false">IF(OR($O209="N/A",$L209="N/A"),"N/A",$O209*$L209)</f>
        <v>N/A</v>
      </c>
      <c r="Q209" s="283" t="n">
        <f aca="false">IF(M209="TRUE",1,0)</f>
        <v>0</v>
      </c>
      <c r="R209" s="283" t="n">
        <f aca="false">R208+Q209</f>
        <v>0</v>
      </c>
      <c r="S209" s="283" t="n">
        <f aca="false">IF(Q209=0,0,R209)</f>
        <v>0</v>
      </c>
      <c r="T209" s="283" t="n">
        <f aca="false">IF(N209=1,1,0)</f>
        <v>0</v>
      </c>
      <c r="U209" s="283" t="n">
        <f aca="false">U208+T209</f>
        <v>60</v>
      </c>
      <c r="V209" s="283" t="n">
        <f aca="false">IF(T209=0,0,U209)</f>
        <v>0</v>
      </c>
    </row>
    <row r="210" customFormat="false" ht="26.85" hidden="false" customHeight="false" outlineLevel="0" collapsed="false">
      <c r="A210" s="311" t="str">
        <f aca="false">Questions!$A210</f>
        <v>HIPA-24</v>
      </c>
      <c r="B210" s="311" t="str">
        <f aca="false">LEFT(A210,4)</f>
        <v>HIPA</v>
      </c>
      <c r="C210" s="311" t="str">
        <f aca="false">VLOOKUP($A210,Questions!$A$3:$L$333,2,0)&amp;""</f>
        <v>Can the application logs be archived?</v>
      </c>
      <c r="D210" s="311" t="str">
        <f aca="false">VLOOKUP($A210,Questions!$A$3:$L$333,11,0)&amp;""</f>
        <v/>
      </c>
      <c r="E210" s="311" t="str">
        <f aca="false">VLOOKUP($A210,Questions!$A$3:$L$333,12,0)&amp;""</f>
        <v>Case-specific</v>
      </c>
      <c r="F210" s="311" t="str">
        <f aca="false">VLOOKUP($A210,'Institution Evaluation'!$A$56:$K$346,3,0)&amp;""</f>
        <v/>
      </c>
      <c r="G210" s="311" t="str">
        <f aca="false">VLOOKUP($A210,'Institution Evaluation'!$A$56:$K$346,7,0)&amp;""</f>
        <v>Yes</v>
      </c>
      <c r="H210" s="311" t="str">
        <f aca="false">VLOOKUP($A210,'Institution Evaluation'!$A$56:$K$346,8,0)&amp;""</f>
        <v/>
      </c>
      <c r="I210" s="311" t="str">
        <f aca="false">VLOOKUP($A210,'Institution Evaluation'!$A$56:$K$346,9,0)&amp;""</f>
        <v>Standard Importance</v>
      </c>
      <c r="J210" s="311" t="str">
        <f aca="false">VLOOKUP($A210,'Institution Evaluation'!$A$56:$K$346,10,0)&amp;""</f>
        <v/>
      </c>
      <c r="K210" s="311" t="n">
        <f aca="false">IF($I210="Critical Importance",20,IF($I210="Minor Importance",5,10))</f>
        <v>10</v>
      </c>
      <c r="L210" s="283" t="n">
        <f aca="false">IF($E210="Not Scored", "N/A",IF(AND($D210='Auto Responses'!$J$27,$H210=""),"N/A",IF(AND($D210='Auto Responses'!$J$27,$H210='Auto Responses'!$J$7),1,IF(AND($D210='Auto Responses'!$J$27,$H210='Auto Responses'!$J$8),0,IF(OR($F210=$G210,$H210='Auto Responses'!$J$7),1,0)))))</f>
        <v>0</v>
      </c>
      <c r="M210" s="311" t="str">
        <f aca="false">VLOOKUP($A210,'Institution Evaluation'!$A$56:$K$346,10,0)&amp;""</f>
        <v/>
      </c>
      <c r="N210" s="311" t="n">
        <f aca="false">IF($J210="Critical Importance",1,IF(AND($J210="",$I210="Critical Importance"),1,0))</f>
        <v>0</v>
      </c>
      <c r="O210" s="283" t="str">
        <f aca="false">IF(OR($F$21="No",$E210="Not Scored"),"N/A",IF($J210="",$K210,IF($J210="Minor Importance",5,IF($J210="Standard Importance",10,IF($J210="Critical Importance",20,0)))))</f>
        <v>N/A</v>
      </c>
      <c r="P210" s="283" t="str">
        <f aca="false">IF(OR($O210="N/A",$L210="N/A"),"N/A",$O210*$L210)</f>
        <v>N/A</v>
      </c>
      <c r="Q210" s="283" t="n">
        <f aca="false">IF(M210="TRUE",1,0)</f>
        <v>0</v>
      </c>
      <c r="R210" s="283" t="n">
        <f aca="false">R209+Q210</f>
        <v>0</v>
      </c>
      <c r="S210" s="283" t="n">
        <f aca="false">IF(Q210=0,0,R210)</f>
        <v>0</v>
      </c>
      <c r="T210" s="283" t="n">
        <f aca="false">IF(N210=1,1,0)</f>
        <v>0</v>
      </c>
      <c r="U210" s="283" t="n">
        <f aca="false">U209+T210</f>
        <v>60</v>
      </c>
      <c r="V210" s="283" t="n">
        <f aca="false">IF(T210=0,0,U210)</f>
        <v>0</v>
      </c>
    </row>
    <row r="211" customFormat="false" ht="26.85" hidden="false" customHeight="false" outlineLevel="0" collapsed="false">
      <c r="A211" s="311" t="str">
        <f aca="false">Questions!$A211</f>
        <v>HIPA-25</v>
      </c>
      <c r="B211" s="311" t="str">
        <f aca="false">LEFT(A211,4)</f>
        <v>HIPA</v>
      </c>
      <c r="C211" s="311" t="str">
        <f aca="false">VLOOKUP($A211,Questions!$A$3:$L$333,2,0)&amp;""</f>
        <v>Can the application logs be saved externally?</v>
      </c>
      <c r="D211" s="311" t="str">
        <f aca="false">VLOOKUP($A211,Questions!$A$3:$L$333,11,0)&amp;""</f>
        <v/>
      </c>
      <c r="E211" s="311" t="str">
        <f aca="false">VLOOKUP($A211,Questions!$A$3:$L$333,12,0)&amp;""</f>
        <v>Case-specific</v>
      </c>
      <c r="F211" s="311" t="str">
        <f aca="false">VLOOKUP($A211,'Institution Evaluation'!$A$56:$K$346,3,0)&amp;""</f>
        <v/>
      </c>
      <c r="G211" s="311" t="str">
        <f aca="false">VLOOKUP($A211,'Institution Evaluation'!$A$56:$K$346,7,0)&amp;""</f>
        <v>Yes</v>
      </c>
      <c r="H211" s="311" t="str">
        <f aca="false">VLOOKUP($A211,'Institution Evaluation'!$A$56:$K$346,8,0)&amp;""</f>
        <v/>
      </c>
      <c r="I211" s="311" t="str">
        <f aca="false">VLOOKUP($A211,'Institution Evaluation'!$A$56:$K$346,9,0)&amp;""</f>
        <v>Standard Importance</v>
      </c>
      <c r="J211" s="311" t="str">
        <f aca="false">VLOOKUP($A211,'Institution Evaluation'!$A$56:$K$346,10,0)&amp;""</f>
        <v/>
      </c>
      <c r="K211" s="311" t="n">
        <f aca="false">IF($I211="Critical Importance",20,IF($I211="Minor Importance",5,10))</f>
        <v>10</v>
      </c>
      <c r="L211" s="283" t="n">
        <f aca="false">IF($E211="Not Scored", "N/A",IF(AND($D211='Auto Responses'!$J$27,$H211=""),"N/A",IF(AND($D211='Auto Responses'!$J$27,$H211='Auto Responses'!$J$7),1,IF(AND($D211='Auto Responses'!$J$27,$H211='Auto Responses'!$J$8),0,IF(OR($F211=$G211,$H211='Auto Responses'!$J$7),1,0)))))</f>
        <v>0</v>
      </c>
      <c r="M211" s="311" t="str">
        <f aca="false">VLOOKUP($A211,'Institution Evaluation'!$A$56:$K$346,10,0)&amp;""</f>
        <v/>
      </c>
      <c r="N211" s="311" t="n">
        <f aca="false">IF($J211="Critical Importance",1,IF(AND($J211="",$I211="Critical Importance"),1,0))</f>
        <v>0</v>
      </c>
      <c r="O211" s="283" t="str">
        <f aca="false">IF(OR($F$21="No",$E211="Not Scored"),"N/A",IF($J211="",$K211,IF($J211="Minor Importance",5,IF($J211="Standard Importance",10,IF($J211="Critical Importance",20,0)))))</f>
        <v>N/A</v>
      </c>
      <c r="P211" s="283" t="str">
        <f aca="false">IF(OR($O211="N/A",$L211="N/A"),"N/A",$O211*$L211)</f>
        <v>N/A</v>
      </c>
      <c r="Q211" s="283" t="n">
        <f aca="false">IF(M211="TRUE",1,0)</f>
        <v>0</v>
      </c>
      <c r="R211" s="283" t="n">
        <f aca="false">R210+Q211</f>
        <v>0</v>
      </c>
      <c r="S211" s="283" t="n">
        <f aca="false">IF(Q211=0,0,R211)</f>
        <v>0</v>
      </c>
      <c r="T211" s="283" t="n">
        <f aca="false">IF(N211=1,1,0)</f>
        <v>0</v>
      </c>
      <c r="U211" s="283" t="n">
        <f aca="false">U210+T211</f>
        <v>60</v>
      </c>
      <c r="V211" s="283" t="n">
        <f aca="false">IF(T211=0,0,U211)</f>
        <v>0</v>
      </c>
    </row>
    <row r="212" customFormat="false" ht="26.85" hidden="false" customHeight="false" outlineLevel="0" collapsed="false">
      <c r="A212" s="311" t="str">
        <f aca="false">Questions!$A212</f>
        <v>HIPA-26</v>
      </c>
      <c r="B212" s="311" t="str">
        <f aca="false">LEFT(A212,4)</f>
        <v>HIPA</v>
      </c>
      <c r="C212" s="311" t="str">
        <f aca="false">VLOOKUP($A212,Questions!$A$3:$L$333,2,0)&amp;""</f>
        <v>Do you have a disaster recovery plan and emergency mode operation plan?</v>
      </c>
      <c r="D212" s="311" t="str">
        <f aca="false">VLOOKUP($A212,Questions!$A$3:$L$333,11,0)&amp;""</f>
        <v/>
      </c>
      <c r="E212" s="311" t="str">
        <f aca="false">VLOOKUP($A212,Questions!$A$3:$L$333,12,0)&amp;""</f>
        <v>Case-specific</v>
      </c>
      <c r="F212" s="311" t="str">
        <f aca="false">VLOOKUP($A212,'Institution Evaluation'!$A$56:$K$346,3,0)&amp;""</f>
        <v/>
      </c>
      <c r="G212" s="311" t="str">
        <f aca="false">VLOOKUP($A212,'Institution Evaluation'!$A$56:$K$346,7,0)&amp;""</f>
        <v>Yes</v>
      </c>
      <c r="H212" s="311" t="str">
        <f aca="false">VLOOKUP($A212,'Institution Evaluation'!$A$56:$K$346,8,0)&amp;""</f>
        <v/>
      </c>
      <c r="I212" s="311" t="str">
        <f aca="false">VLOOKUP($A212,'Institution Evaluation'!$A$56:$K$346,9,0)&amp;""</f>
        <v>Standard Importance</v>
      </c>
      <c r="J212" s="311" t="str">
        <f aca="false">VLOOKUP($A212,'Institution Evaluation'!$A$56:$K$346,10,0)&amp;""</f>
        <v/>
      </c>
      <c r="K212" s="311" t="n">
        <f aca="false">IF($I212="Critical Importance",20,IF($I212="Minor Importance",5,10))</f>
        <v>10</v>
      </c>
      <c r="L212" s="283" t="n">
        <f aca="false">IF($E212="Not Scored", "N/A",IF(AND($D212='Auto Responses'!$J$27,$H212=""),"N/A",IF(AND($D212='Auto Responses'!$J$27,$H212='Auto Responses'!$J$7),1,IF(AND($D212='Auto Responses'!$J$27,$H212='Auto Responses'!$J$8),0,IF(OR($F212=$G212,$H212='Auto Responses'!$J$7),1,0)))))</f>
        <v>0</v>
      </c>
      <c r="M212" s="311" t="str">
        <f aca="false">VLOOKUP($A212,'Institution Evaluation'!$A$56:$K$346,10,0)&amp;""</f>
        <v/>
      </c>
      <c r="N212" s="311" t="n">
        <f aca="false">IF($J212="Critical Importance",1,IF(AND($J212="",$I212="Critical Importance"),1,0))</f>
        <v>0</v>
      </c>
      <c r="O212" s="283" t="str">
        <f aca="false">IF(OR($F$21="No",$E212="Not Scored"),"N/A",IF($J212="",$K212,IF($J212="Minor Importance",5,IF($J212="Standard Importance",10,IF($J212="Critical Importance",20,0)))))</f>
        <v>N/A</v>
      </c>
      <c r="P212" s="283" t="str">
        <f aca="false">IF(OR($O212="N/A",$L212="N/A"),"N/A",$O212*$L212)</f>
        <v>N/A</v>
      </c>
      <c r="Q212" s="283" t="n">
        <f aca="false">IF(M212="TRUE",1,0)</f>
        <v>0</v>
      </c>
      <c r="R212" s="283" t="n">
        <f aca="false">R211+Q212</f>
        <v>0</v>
      </c>
      <c r="S212" s="283" t="n">
        <f aca="false">IF(Q212=0,0,R212)</f>
        <v>0</v>
      </c>
      <c r="T212" s="283" t="n">
        <f aca="false">IF(N212=1,1,0)</f>
        <v>0</v>
      </c>
      <c r="U212" s="283" t="n">
        <f aca="false">U211+T212</f>
        <v>60</v>
      </c>
      <c r="V212" s="283" t="n">
        <f aca="false">IF(T212=0,0,U212)</f>
        <v>0</v>
      </c>
    </row>
    <row r="213" customFormat="false" ht="26.85" hidden="false" customHeight="false" outlineLevel="0" collapsed="false">
      <c r="A213" s="311" t="str">
        <f aca="false">Questions!$A213</f>
        <v>HIPA-27</v>
      </c>
      <c r="B213" s="311" t="str">
        <f aca="false">LEFT(A213,4)</f>
        <v>HIPA</v>
      </c>
      <c r="C213" s="311" t="str">
        <f aca="false">VLOOKUP($A213,Questions!$A$3:$L$333,2,0)&amp;""</f>
        <v>Can you provide a HIPAA compliance attestation document?</v>
      </c>
      <c r="D213" s="311" t="str">
        <f aca="false">VLOOKUP($A213,Questions!$A$3:$L$333,11,0)&amp;""</f>
        <v/>
      </c>
      <c r="E213" s="311" t="str">
        <f aca="false">VLOOKUP($A213,Questions!$A$3:$L$333,12,0)&amp;""</f>
        <v>Case-specific</v>
      </c>
      <c r="F213" s="311" t="str">
        <f aca="false">VLOOKUP($A213,'Institution Evaluation'!$A$56:$K$346,3,0)&amp;""</f>
        <v/>
      </c>
      <c r="G213" s="311" t="str">
        <f aca="false">VLOOKUP($A213,'Institution Evaluation'!$A$56:$K$346,7,0)&amp;""</f>
        <v>Yes</v>
      </c>
      <c r="H213" s="311" t="str">
        <f aca="false">VLOOKUP($A213,'Institution Evaluation'!$A$56:$K$346,8,0)&amp;""</f>
        <v/>
      </c>
      <c r="I213" s="311" t="str">
        <f aca="false">VLOOKUP($A213,'Institution Evaluation'!$A$56:$K$346,9,0)&amp;""</f>
        <v>Standard Importance</v>
      </c>
      <c r="J213" s="311" t="str">
        <f aca="false">VLOOKUP($A213,'Institution Evaluation'!$A$56:$K$346,10,0)&amp;""</f>
        <v/>
      </c>
      <c r="K213" s="311" t="n">
        <f aca="false">IF($I213="Critical Importance",20,IF($I213="Minor Importance",5,10))</f>
        <v>10</v>
      </c>
      <c r="L213" s="283" t="n">
        <f aca="false">IF($E213="Not Scored", "N/A",IF(AND($D213='Auto Responses'!$J$27,$H213=""),"N/A",IF(AND($D213='Auto Responses'!$J$27,$H213='Auto Responses'!$J$7),1,IF(AND($D213='Auto Responses'!$J$27,$H213='Auto Responses'!$J$8),0,IF(OR($F213=$G213,$H213='Auto Responses'!$J$7),1,0)))))</f>
        <v>0</v>
      </c>
      <c r="M213" s="311" t="str">
        <f aca="false">VLOOKUP($A213,'Institution Evaluation'!$A$56:$K$346,10,0)&amp;""</f>
        <v/>
      </c>
      <c r="N213" s="311" t="n">
        <f aca="false">IF($J213="Critical Importance",1,IF(AND($J213="",$I213="Critical Importance"),1,0))</f>
        <v>0</v>
      </c>
      <c r="O213" s="283" t="str">
        <f aca="false">IF(OR($F$21="No",$E213="Not Scored"),"N/A",IF($J213="",$K213,IF($J213="Minor Importance",5,IF($J213="Standard Importance",10,IF($J213="Critical Importance",20,0)))))</f>
        <v>N/A</v>
      </c>
      <c r="P213" s="283" t="str">
        <f aca="false">IF(OR($O213="N/A",$L213="N/A"),"N/A",$O213*$L213)</f>
        <v>N/A</v>
      </c>
      <c r="Q213" s="283" t="n">
        <f aca="false">IF(M213="TRUE",1,0)</f>
        <v>0</v>
      </c>
      <c r="R213" s="283" t="n">
        <f aca="false">R212+Q213</f>
        <v>0</v>
      </c>
      <c r="S213" s="283" t="n">
        <f aca="false">IF(Q213=0,0,R213)</f>
        <v>0</v>
      </c>
      <c r="T213" s="283" t="n">
        <f aca="false">IF(N213=1,1,0)</f>
        <v>0</v>
      </c>
      <c r="U213" s="283" t="n">
        <f aca="false">U212+T213</f>
        <v>60</v>
      </c>
      <c r="V213" s="283" t="n">
        <f aca="false">IF(T213=0,0,U213)</f>
        <v>0</v>
      </c>
    </row>
    <row r="214" customFormat="false" ht="26.85" hidden="false" customHeight="false" outlineLevel="0" collapsed="false">
      <c r="A214" s="311" t="str">
        <f aca="false">Questions!$A214</f>
        <v>HIPA-28</v>
      </c>
      <c r="B214" s="311" t="str">
        <f aca="false">LEFT(A214,4)</f>
        <v>HIPA</v>
      </c>
      <c r="C214" s="311" t="str">
        <f aca="false">VLOOKUP($A214,Questions!$A$3:$L$333,2,0)&amp;""</f>
        <v>Are you willing to enter into a Business Associate Agreement (BAA)?</v>
      </c>
      <c r="D214" s="311" t="str">
        <f aca="false">VLOOKUP($A214,Questions!$A$3:$L$333,11,0)&amp;""</f>
        <v/>
      </c>
      <c r="E214" s="311" t="str">
        <f aca="false">VLOOKUP($A214,Questions!$A$3:$L$333,12,0)&amp;""</f>
        <v>Case-specific</v>
      </c>
      <c r="F214" s="311" t="str">
        <f aca="false">VLOOKUP($A214,'Institution Evaluation'!$A$56:$K$346,3,0)&amp;""</f>
        <v/>
      </c>
      <c r="G214" s="311" t="str">
        <f aca="false">VLOOKUP($A214,'Institution Evaluation'!$A$56:$K$346,7,0)&amp;""</f>
        <v>Yes</v>
      </c>
      <c r="H214" s="311" t="str">
        <f aca="false">VLOOKUP($A214,'Institution Evaluation'!$A$56:$K$346,8,0)&amp;""</f>
        <v/>
      </c>
      <c r="I214" s="311" t="str">
        <f aca="false">VLOOKUP($A214,'Institution Evaluation'!$A$56:$K$346,9,0)&amp;""</f>
        <v>Standard Importance</v>
      </c>
      <c r="J214" s="311" t="str">
        <f aca="false">VLOOKUP($A214,'Institution Evaluation'!$A$56:$K$346,10,0)&amp;""</f>
        <v/>
      </c>
      <c r="K214" s="311" t="n">
        <f aca="false">IF($I214="Critical Importance",20,IF($I214="Minor Importance",5,10))</f>
        <v>10</v>
      </c>
      <c r="L214" s="283" t="n">
        <f aca="false">IF($E214="Not Scored", "N/A",IF(AND($D214='Auto Responses'!$J$27,$H214=""),"N/A",IF(AND($D214='Auto Responses'!$J$27,$H214='Auto Responses'!$J$7),1,IF(AND($D214='Auto Responses'!$J$27,$H214='Auto Responses'!$J$8),0,IF(OR($F214=$G214,$H214='Auto Responses'!$J$7),1,0)))))</f>
        <v>0</v>
      </c>
      <c r="M214" s="311" t="str">
        <f aca="false">VLOOKUP($A214,'Institution Evaluation'!$A$56:$K$346,10,0)&amp;""</f>
        <v/>
      </c>
      <c r="N214" s="311" t="n">
        <f aca="false">IF($J214="Critical Importance",1,IF(AND($J214="",$I214="Critical Importance"),1,0))</f>
        <v>0</v>
      </c>
      <c r="O214" s="283" t="str">
        <f aca="false">IF(OR($F$21="No",$E214="Not Scored"),"N/A",IF($J214="",$K214,IF($J214="Minor Importance",5,IF($J214="Standard Importance",10,IF($J214="Critical Importance",20,0)))))</f>
        <v>N/A</v>
      </c>
      <c r="P214" s="283" t="str">
        <f aca="false">IF(OR($O214="N/A",$L214="N/A"),"N/A",$O214*$L214)</f>
        <v>N/A</v>
      </c>
      <c r="Q214" s="283" t="n">
        <f aca="false">IF(M214="TRUE",1,0)</f>
        <v>0</v>
      </c>
      <c r="R214" s="283" t="n">
        <f aca="false">R213+Q214</f>
        <v>0</v>
      </c>
      <c r="S214" s="283" t="n">
        <f aca="false">IF(Q214=0,0,R214)</f>
        <v>0</v>
      </c>
      <c r="T214" s="283" t="n">
        <f aca="false">IF(N214=1,1,0)</f>
        <v>0</v>
      </c>
      <c r="U214" s="283" t="n">
        <f aca="false">U213+T214</f>
        <v>60</v>
      </c>
      <c r="V214" s="283" t="n">
        <f aca="false">IF(T214=0,0,U214)</f>
        <v>0</v>
      </c>
    </row>
    <row r="215" customFormat="false" ht="26.85" hidden="false" customHeight="false" outlineLevel="0" collapsed="false">
      <c r="A215" s="311" t="str">
        <f aca="false">Questions!$A215</f>
        <v>HIPA-29</v>
      </c>
      <c r="B215" s="311" t="str">
        <f aca="false">LEFT(A215,4)</f>
        <v>HIPA</v>
      </c>
      <c r="C215" s="311" t="str">
        <f aca="false">VLOOKUP($A215,Questions!$A$3:$L$333,2,0)&amp;""</f>
        <v>Do your data backup and retention policies and practices meet HIPAA requirements?</v>
      </c>
      <c r="D215" s="311" t="str">
        <f aca="false">VLOOKUP($A215,Questions!$A$3:$L$333,11,0)&amp;""</f>
        <v/>
      </c>
      <c r="E215" s="311" t="str">
        <f aca="false">VLOOKUP($A215,Questions!$A$3:$L$333,12,0)&amp;""</f>
        <v>Case-specific</v>
      </c>
      <c r="F215" s="311" t="str">
        <f aca="false">VLOOKUP($A215,'Institution Evaluation'!$A$56:$K$346,3,0)&amp;""</f>
        <v/>
      </c>
      <c r="G215" s="311" t="str">
        <f aca="false">VLOOKUP($A215,'Institution Evaluation'!$A$56:$K$346,7,0)&amp;""</f>
        <v>Yes</v>
      </c>
      <c r="H215" s="311" t="str">
        <f aca="false">VLOOKUP($A215,'Institution Evaluation'!$A$56:$K$346,8,0)&amp;""</f>
        <v/>
      </c>
      <c r="I215" s="311" t="str">
        <f aca="false">VLOOKUP($A215,'Institution Evaluation'!$A$56:$K$346,9,0)&amp;""</f>
        <v>Minor Importance</v>
      </c>
      <c r="J215" s="311" t="str">
        <f aca="false">VLOOKUP($A215,'Institution Evaluation'!$A$56:$K$346,10,0)&amp;""</f>
        <v/>
      </c>
      <c r="K215" s="311" t="n">
        <f aca="false">IF($I215="Critical Importance",20,IF($I215="Minor Importance",5,10))</f>
        <v>5</v>
      </c>
      <c r="L215" s="283" t="n">
        <f aca="false">IF($E215="Not Scored", "N/A",IF(AND($D215='Auto Responses'!$J$27,$H215=""),"N/A",IF(AND($D215='Auto Responses'!$J$27,$H215='Auto Responses'!$J$7),1,IF(AND($D215='Auto Responses'!$J$27,$H215='Auto Responses'!$J$8),0,IF(OR($F215=$G215,$H215='Auto Responses'!$J$7),1,0)))))</f>
        <v>0</v>
      </c>
      <c r="M215" s="311" t="str">
        <f aca="false">VLOOKUP($A215,'Institution Evaluation'!$A$56:$K$346,10,0)&amp;""</f>
        <v/>
      </c>
      <c r="N215" s="311" t="n">
        <f aca="false">IF($J215="Critical Importance",1,IF(AND($J215="",$I215="Critical Importance"),1,0))</f>
        <v>0</v>
      </c>
      <c r="O215" s="283" t="str">
        <f aca="false">IF(OR($F$21="No",$E215="Not Scored"),"N/A",IF($J215="",$K215,IF($J215="Minor Importance",5,IF($J215="Standard Importance",10,IF($J215="Critical Importance",20,0)))))</f>
        <v>N/A</v>
      </c>
      <c r="P215" s="283" t="str">
        <f aca="false">IF(OR($O215="N/A",$L215="N/A"),"N/A",$O215*$L215)</f>
        <v>N/A</v>
      </c>
      <c r="Q215" s="283" t="n">
        <f aca="false">IF(M215="TRUE",1,0)</f>
        <v>0</v>
      </c>
      <c r="R215" s="283" t="n">
        <f aca="false">R214+Q215</f>
        <v>0</v>
      </c>
      <c r="S215" s="283" t="n">
        <f aca="false">IF(Q215=0,0,R215)</f>
        <v>0</v>
      </c>
      <c r="T215" s="283" t="n">
        <f aca="false">IF(N215=1,1,0)</f>
        <v>0</v>
      </c>
      <c r="U215" s="283" t="n">
        <f aca="false">U214+T215</f>
        <v>60</v>
      </c>
      <c r="V215" s="283" t="n">
        <f aca="false">IF(T215=0,0,U215)</f>
        <v>0</v>
      </c>
    </row>
    <row r="216" customFormat="false" ht="39.55" hidden="false" customHeight="false" outlineLevel="0" collapsed="false">
      <c r="A216" s="311" t="str">
        <f aca="false">Questions!$A216</f>
        <v>PCID-01</v>
      </c>
      <c r="B216" s="311" t="str">
        <f aca="false">LEFT(A216,4)</f>
        <v>PCID</v>
      </c>
      <c r="C216" s="311" t="str">
        <f aca="false">VLOOKUP($A216,Questions!$A$3:$L$333,2,0)&amp;""</f>
        <v>Do you have a current, executed within the past year, Attestation of Compliance (AoC) or Report on Compliance (RoC)?*</v>
      </c>
      <c r="D216" s="311" t="str">
        <f aca="false">VLOOKUP($A216,Questions!$A$3:$L$333,11,0)&amp;""</f>
        <v/>
      </c>
      <c r="E216" s="311" t="str">
        <f aca="false">VLOOKUP($A216,Questions!$A$3:$L$333,12,0)&amp;""</f>
        <v>Case-Specific</v>
      </c>
      <c r="F216" s="311" t="str">
        <f aca="false">VLOOKUP($A216,'Institution Evaluation'!$A$56:$K$346,3,0)&amp;""</f>
        <v/>
      </c>
      <c r="G216" s="311" t="str">
        <f aca="false">VLOOKUP($A216,'Institution Evaluation'!$A$56:$K$346,7,0)&amp;""</f>
        <v>Yes</v>
      </c>
      <c r="H216" s="311" t="str">
        <f aca="false">VLOOKUP($A216,'Institution Evaluation'!$A$56:$K$346,8,0)&amp;""</f>
        <v/>
      </c>
      <c r="I216" s="311" t="str">
        <f aca="false">VLOOKUP($A216,'Institution Evaluation'!$A$56:$K$346,9,0)&amp;""</f>
        <v>Critical Importance</v>
      </c>
      <c r="J216" s="311" t="str">
        <f aca="false">VLOOKUP($A216,'Institution Evaluation'!$A$56:$K$346,10,0)&amp;""</f>
        <v/>
      </c>
      <c r="K216" s="311" t="n">
        <f aca="false">IF($I216="Critical Importance",20,IF($I216="Minor Importance",5,10))</f>
        <v>20</v>
      </c>
      <c r="L216" s="283" t="n">
        <f aca="false">IF($E216="Not Scored", "N/A",IF(AND($D216='Auto Responses'!$J$27,$H216=""),"N/A",IF(AND($D216='Auto Responses'!$J$27,$H216='Auto Responses'!$J$7),1,IF(AND($D216='Auto Responses'!$J$27,$H216='Auto Responses'!$J$8),0,IF(OR($F216=$G216,$H216='Auto Responses'!$J$7),1,0)))))</f>
        <v>0</v>
      </c>
      <c r="M216" s="311" t="str">
        <f aca="false">VLOOKUP($A216,'Institution Evaluation'!$A$56:$K$346,10,0)&amp;""</f>
        <v/>
      </c>
      <c r="N216" s="311" t="n">
        <f aca="false">IF($J216="Critical Importance",1,IF(AND($J216="",$I216="Critical Importance"),1,0))</f>
        <v>1</v>
      </c>
      <c r="O216" s="283" t="str">
        <f aca="false">IF(OR($F$22="No",$E216="Not Scored"),"N/A",IF($J216="",$K216,IF($J216="Minor Importance",5,IF($J216="Standard Importance",10,IF($J216="Critical Importance",20,0)))))</f>
        <v>N/A</v>
      </c>
      <c r="P216" s="283" t="str">
        <f aca="false">IF(OR($O216="N/A",$L216="N/A"),"N/A",$O216*$L216)</f>
        <v>N/A</v>
      </c>
      <c r="Q216" s="283" t="n">
        <f aca="false">IF(M216="TRUE",1,0)</f>
        <v>0</v>
      </c>
      <c r="R216" s="283" t="n">
        <f aca="false">R215+Q216</f>
        <v>0</v>
      </c>
      <c r="S216" s="283" t="n">
        <f aca="false">IF(Q216=0,0,R216)</f>
        <v>0</v>
      </c>
      <c r="T216" s="283" t="n">
        <f aca="false">IF(N216=1,1,0)</f>
        <v>1</v>
      </c>
      <c r="U216" s="283" t="n">
        <f aca="false">U215+T216</f>
        <v>61</v>
      </c>
      <c r="V216" s="283" t="n">
        <f aca="false">IF(T216=0,0,U216)</f>
        <v>61</v>
      </c>
    </row>
    <row r="217" customFormat="false" ht="39.55" hidden="false" customHeight="false" outlineLevel="0" collapsed="false">
      <c r="A217" s="311" t="str">
        <f aca="false">Questions!$A217</f>
        <v>PCID-02</v>
      </c>
      <c r="B217" s="311" t="str">
        <f aca="false">LEFT(A217,4)</f>
        <v>PCID</v>
      </c>
      <c r="C217" s="311" t="str">
        <f aca="false">VLOOKUP($A217,Questions!$A$3:$L$333,2,0)&amp;""</f>
        <v>Is the application listed as an approved Payment Application Data Security Standard (PA-DSS) application?*</v>
      </c>
      <c r="D217" s="311" t="str">
        <f aca="false">VLOOKUP($A217,Questions!$A$3:$L$333,11,0)&amp;""</f>
        <v/>
      </c>
      <c r="E217" s="311" t="str">
        <f aca="false">VLOOKUP($A217,Questions!$A$3:$L$333,12,0)&amp;""</f>
        <v>Case-Specific</v>
      </c>
      <c r="F217" s="311" t="str">
        <f aca="false">VLOOKUP($A217,'Institution Evaluation'!$A$56:$K$346,3,0)&amp;""</f>
        <v/>
      </c>
      <c r="G217" s="311" t="str">
        <f aca="false">VLOOKUP($A217,'Institution Evaluation'!$A$56:$K$346,7,0)&amp;""</f>
        <v>No</v>
      </c>
      <c r="H217" s="311" t="str">
        <f aca="false">VLOOKUP($A217,'Institution Evaluation'!$A$56:$K$346,8,0)&amp;""</f>
        <v/>
      </c>
      <c r="I217" s="311" t="str">
        <f aca="false">VLOOKUP($A217,'Institution Evaluation'!$A$56:$K$346,9,0)&amp;""</f>
        <v>Critical Importance</v>
      </c>
      <c r="J217" s="311" t="str">
        <f aca="false">VLOOKUP($A217,'Institution Evaluation'!$A$56:$K$346,10,0)&amp;""</f>
        <v/>
      </c>
      <c r="K217" s="311" t="n">
        <f aca="false">IF($I217="Critical Importance",20,IF($I217="Minor Importance",5,10))</f>
        <v>20</v>
      </c>
      <c r="L217" s="283" t="n">
        <f aca="false">IF($E217="Not Scored", "N/A",IF(AND($D217='Auto Responses'!$J$27,$H217=""),"N/A",IF(AND($D217='Auto Responses'!$J$27,$H217='Auto Responses'!$J$7),1,IF(AND($D217='Auto Responses'!$J$27,$H217='Auto Responses'!$J$8),0,IF(OR($F217=$G217,$H217='Auto Responses'!$J$7),1,0)))))</f>
        <v>0</v>
      </c>
      <c r="M217" s="311" t="str">
        <f aca="false">VLOOKUP($A217,'Institution Evaluation'!$A$56:$K$346,10,0)&amp;""</f>
        <v/>
      </c>
      <c r="N217" s="311" t="n">
        <f aca="false">IF($J217="Critical Importance",1,IF(AND($J217="",$I217="Critical Importance"),1,0))</f>
        <v>1</v>
      </c>
      <c r="O217" s="283" t="str">
        <f aca="false">IF(OR($F$22="No",$E217="Not Scored"),"N/A",IF($J217="",$K217,IF($J217="Minor Importance",5,IF($J217="Standard Importance",10,IF($J217="Critical Importance",20,0)))))</f>
        <v>N/A</v>
      </c>
      <c r="P217" s="283" t="str">
        <f aca="false">IF(OR($O217="N/A",$L217="N/A"),"N/A",$O217*$L217)</f>
        <v>N/A</v>
      </c>
      <c r="Q217" s="283" t="n">
        <f aca="false">IF(M217="TRUE",1,0)</f>
        <v>0</v>
      </c>
      <c r="R217" s="283" t="n">
        <f aca="false">R216+Q217</f>
        <v>0</v>
      </c>
      <c r="S217" s="283" t="n">
        <f aca="false">IF(Q217=0,0,R217)</f>
        <v>0</v>
      </c>
      <c r="T217" s="283" t="n">
        <f aca="false">IF(N217=1,1,0)</f>
        <v>1</v>
      </c>
      <c r="U217" s="283" t="n">
        <f aca="false">U216+T217</f>
        <v>62</v>
      </c>
      <c r="V217" s="283" t="n">
        <f aca="false">IF(T217=0,0,U217)</f>
        <v>62</v>
      </c>
    </row>
    <row r="218" customFormat="false" ht="39.55" hidden="false" customHeight="false" outlineLevel="0" collapsed="false">
      <c r="A218" s="311" t="str">
        <f aca="false">Questions!$A218</f>
        <v>PCID-03</v>
      </c>
      <c r="B218" s="311" t="str">
        <f aca="false">LEFT(A218,4)</f>
        <v>PCID</v>
      </c>
      <c r="C218" s="311" t="str">
        <f aca="false">VLOOKUP($A218,Questions!$A$3:$L$333,2,0)&amp;""</f>
        <v>Does the system or solutions use a third party to collect, store, process, or transmit cardholder (payment/credit/debt card) data?*</v>
      </c>
      <c r="D218" s="311" t="str">
        <f aca="false">VLOOKUP($A218,Questions!$A$3:$L$333,11,0)&amp;""</f>
        <v/>
      </c>
      <c r="E218" s="311" t="str">
        <f aca="false">VLOOKUP($A218,Questions!$A$3:$L$333,12,0)&amp;""</f>
        <v>Case-Specific</v>
      </c>
      <c r="F218" s="311" t="str">
        <f aca="false">VLOOKUP($A218,'Institution Evaluation'!$A$56:$K$346,3,0)&amp;""</f>
        <v/>
      </c>
      <c r="G218" s="311" t="str">
        <f aca="false">VLOOKUP($A218,'Institution Evaluation'!$A$56:$K$346,7,0)&amp;""</f>
        <v>No</v>
      </c>
      <c r="H218" s="311" t="str">
        <f aca="false">VLOOKUP($A218,'Institution Evaluation'!$A$56:$K$346,8,0)&amp;""</f>
        <v/>
      </c>
      <c r="I218" s="311" t="str">
        <f aca="false">VLOOKUP($A218,'Institution Evaluation'!$A$56:$K$346,9,0)&amp;""</f>
        <v>Critical Importance</v>
      </c>
      <c r="J218" s="311" t="str">
        <f aca="false">VLOOKUP($A218,'Institution Evaluation'!$A$56:$K$346,10,0)&amp;""</f>
        <v/>
      </c>
      <c r="K218" s="311" t="n">
        <f aca="false">IF($I218="Critical Importance",20,IF($I218="Minor Importance",5,10))</f>
        <v>20</v>
      </c>
      <c r="L218" s="283" t="n">
        <f aca="false">IF($E218="Not Scored", "N/A",IF(AND($D218='Auto Responses'!$J$27,$H218=""),"N/A",IF(AND($D218='Auto Responses'!$J$27,$H218='Auto Responses'!$J$7),1,IF(AND($D218='Auto Responses'!$J$27,$H218='Auto Responses'!$J$8),0,IF(OR($F218=$G218,$H218='Auto Responses'!$J$7),1,0)))))</f>
        <v>0</v>
      </c>
      <c r="M218" s="311" t="str">
        <f aca="false">VLOOKUP($A218,'Institution Evaluation'!$A$56:$K$346,10,0)&amp;""</f>
        <v/>
      </c>
      <c r="N218" s="311" t="n">
        <f aca="false">IF($J218="Critical Importance",1,IF(AND($J218="",$I218="Critical Importance"),1,0))</f>
        <v>1</v>
      </c>
      <c r="O218" s="283" t="str">
        <f aca="false">IF(OR($F$22="No",$E218="Not Scored"),"N/A",IF($J218="",$K218,IF($J218="Minor Importance",5,IF($J218="Standard Importance",10,IF($J218="Critical Importance",20,0)))))</f>
        <v>N/A</v>
      </c>
      <c r="P218" s="283" t="str">
        <f aca="false">IF(OR($O218="N/A",$L218="N/A"),"N/A",$O218*$L218)</f>
        <v>N/A</v>
      </c>
      <c r="Q218" s="283" t="n">
        <f aca="false">IF(M218="TRUE",1,0)</f>
        <v>0</v>
      </c>
      <c r="R218" s="283" t="n">
        <f aca="false">R217+Q218</f>
        <v>0</v>
      </c>
      <c r="S218" s="283" t="n">
        <f aca="false">IF(Q218=0,0,R218)</f>
        <v>0</v>
      </c>
      <c r="T218" s="283" t="n">
        <f aca="false">IF(N218=1,1,0)</f>
        <v>1</v>
      </c>
      <c r="U218" s="283" t="n">
        <f aca="false">U217+T218</f>
        <v>63</v>
      </c>
      <c r="V218" s="283" t="n">
        <f aca="false">IF(T218=0,0,U218)</f>
        <v>63</v>
      </c>
    </row>
    <row r="219" customFormat="false" ht="39.55" hidden="false" customHeight="false" outlineLevel="0" collapsed="false">
      <c r="A219" s="311" t="str">
        <f aca="false">Questions!$A219</f>
        <v>PCID-04</v>
      </c>
      <c r="B219" s="311" t="str">
        <f aca="false">LEFT(A219,4)</f>
        <v>PCID</v>
      </c>
      <c r="C219" s="311" t="str">
        <f aca="false">VLOOKUP($A219,Questions!$A$3:$L$333,2,0)&amp;""</f>
        <v>Do your systems or solutions store, process, or transmit cardholder (payment/credit/debt card) data?</v>
      </c>
      <c r="D219" s="311" t="str">
        <f aca="false">VLOOKUP($A219,Questions!$A$3:$L$333,11,0)&amp;""</f>
        <v/>
      </c>
      <c r="E219" s="311" t="str">
        <f aca="false">VLOOKUP($A219,Questions!$A$3:$L$333,12,0)&amp;""</f>
        <v>Case-Specific</v>
      </c>
      <c r="F219" s="311" t="str">
        <f aca="false">VLOOKUP($A219,'Institution Evaluation'!$A$56:$K$346,3,0)&amp;""</f>
        <v/>
      </c>
      <c r="G219" s="311" t="str">
        <f aca="false">VLOOKUP($A219,'Institution Evaluation'!$A$56:$K$346,7,0)&amp;""</f>
        <v>Yes</v>
      </c>
      <c r="H219" s="311" t="str">
        <f aca="false">VLOOKUP($A219,'Institution Evaluation'!$A$56:$K$346,8,0)&amp;""</f>
        <v/>
      </c>
      <c r="I219" s="311" t="str">
        <f aca="false">VLOOKUP($A219,'Institution Evaluation'!$A$56:$K$346,9,0)&amp;""</f>
        <v>Standard Importance</v>
      </c>
      <c r="J219" s="311" t="str">
        <f aca="false">VLOOKUP($A219,'Institution Evaluation'!$A$56:$K$346,10,0)&amp;""</f>
        <v/>
      </c>
      <c r="K219" s="311" t="n">
        <f aca="false">IF($I219="Critical Importance",20,IF($I219="Minor Importance",5,10))</f>
        <v>10</v>
      </c>
      <c r="L219" s="283" t="n">
        <f aca="false">IF($E219="Not Scored", "N/A",IF(AND($D219='Auto Responses'!$J$27,$H219=""),"N/A",IF(AND($D219='Auto Responses'!$J$27,$H219='Auto Responses'!$J$7),1,IF(AND($D219='Auto Responses'!$J$27,$H219='Auto Responses'!$J$8),0,IF(OR($F219=$G219,$H219='Auto Responses'!$J$7),1,0)))))</f>
        <v>0</v>
      </c>
      <c r="M219" s="311" t="str">
        <f aca="false">VLOOKUP($A219,'Institution Evaluation'!$A$56:$K$346,10,0)&amp;""</f>
        <v/>
      </c>
      <c r="N219" s="311" t="n">
        <f aca="false">IF($J219="Critical Importance",1,IF(AND($J219="",$I219="Critical Importance"),1,0))</f>
        <v>0</v>
      </c>
      <c r="O219" s="283" t="str">
        <f aca="false">IF(OR($F$22="No",$E219="Not Scored"),"N/A",IF($J219="",$K219,IF($J219="Minor Importance",5,IF($J219="Standard Importance",10,IF($J219="Critical Importance",20,0)))))</f>
        <v>N/A</v>
      </c>
      <c r="P219" s="283" t="str">
        <f aca="false">IF(OR($O219="N/A",$L219="N/A"),"N/A",$O219*$L219)</f>
        <v>N/A</v>
      </c>
      <c r="Q219" s="283" t="n">
        <f aca="false">IF(M219="TRUE",1,0)</f>
        <v>0</v>
      </c>
      <c r="R219" s="283" t="n">
        <f aca="false">R218+Q219</f>
        <v>0</v>
      </c>
      <c r="S219" s="283" t="n">
        <f aca="false">IF(Q219=0,0,R219)</f>
        <v>0</v>
      </c>
      <c r="T219" s="283" t="n">
        <f aca="false">IF(N219=1,1,0)</f>
        <v>0</v>
      </c>
      <c r="U219" s="283" t="n">
        <f aca="false">U218+T219</f>
        <v>63</v>
      </c>
      <c r="V219" s="283" t="n">
        <f aca="false">IF(T219=0,0,U219)</f>
        <v>0</v>
      </c>
    </row>
    <row r="220" customFormat="false" ht="26.85" hidden="false" customHeight="false" outlineLevel="0" collapsed="false">
      <c r="A220" s="311" t="str">
        <f aca="false">Questions!$A220</f>
        <v>PCID-05</v>
      </c>
      <c r="B220" s="311" t="str">
        <f aca="false">LEFT(A220,4)</f>
        <v>PCID</v>
      </c>
      <c r="C220" s="311" t="str">
        <f aca="false">VLOOKUP($A220,Questions!$A$3:$L$333,2,0)&amp;""</f>
        <v>Are you compliant with the Payment Card Industry Data Security Standard (PCI DSS)?</v>
      </c>
      <c r="D220" s="311" t="str">
        <f aca="false">VLOOKUP($A220,Questions!$A$3:$L$333,11,0)&amp;""</f>
        <v/>
      </c>
      <c r="E220" s="311" t="str">
        <f aca="false">VLOOKUP($A220,Questions!$A$3:$L$333,12,0)&amp;""</f>
        <v>Case-Specific</v>
      </c>
      <c r="F220" s="311" t="str">
        <f aca="false">VLOOKUP($A220,'Institution Evaluation'!$A$56:$K$346,3,0)&amp;""</f>
        <v/>
      </c>
      <c r="G220" s="311" t="str">
        <f aca="false">VLOOKUP($A220,'Institution Evaluation'!$A$56:$K$346,7,0)&amp;""</f>
        <v>Yes</v>
      </c>
      <c r="H220" s="311" t="str">
        <f aca="false">VLOOKUP($A220,'Institution Evaluation'!$A$56:$K$346,8,0)&amp;""</f>
        <v/>
      </c>
      <c r="I220" s="311" t="str">
        <f aca="false">VLOOKUP($A220,'Institution Evaluation'!$A$56:$K$346,9,0)&amp;""</f>
        <v>Standard Importance</v>
      </c>
      <c r="J220" s="311" t="str">
        <f aca="false">VLOOKUP($A220,'Institution Evaluation'!$A$56:$K$346,10,0)&amp;""</f>
        <v/>
      </c>
      <c r="K220" s="311" t="n">
        <f aca="false">IF($I220="Critical Importance",20,IF($I220="Minor Importance",5,10))</f>
        <v>10</v>
      </c>
      <c r="L220" s="283" t="n">
        <f aca="false">IF($E220="Not Scored", "N/A",IF(AND($D220='Auto Responses'!$J$27,$H220=""),"N/A",IF(AND($D220='Auto Responses'!$J$27,$H220='Auto Responses'!$J$7),1,IF(AND($D220='Auto Responses'!$J$27,$H220='Auto Responses'!$J$8),0,IF(OR($F220=$G220,$H220='Auto Responses'!$J$7),1,0)))))</f>
        <v>0</v>
      </c>
      <c r="M220" s="311" t="str">
        <f aca="false">VLOOKUP($A220,'Institution Evaluation'!$A$56:$K$346,10,0)&amp;""</f>
        <v/>
      </c>
      <c r="N220" s="311" t="n">
        <f aca="false">IF($J220="Critical Importance",1,IF(AND($J220="",$I220="Critical Importance"),1,0))</f>
        <v>0</v>
      </c>
      <c r="O220" s="283" t="str">
        <f aca="false">IF(OR($F$22="No",$E220="Not Scored"),"N/A",IF($J220="",$K220,IF($J220="Minor Importance",5,IF($J220="Standard Importance",10,IF($J220="Critical Importance",20,0)))))</f>
        <v>N/A</v>
      </c>
      <c r="P220" s="283" t="str">
        <f aca="false">IF(OR($O220="N/A",$L220="N/A"),"N/A",$O220*$L220)</f>
        <v>N/A</v>
      </c>
      <c r="Q220" s="283" t="n">
        <f aca="false">IF(M220="TRUE",1,0)</f>
        <v>0</v>
      </c>
      <c r="R220" s="283" t="n">
        <f aca="false">R219+Q220</f>
        <v>0</v>
      </c>
      <c r="S220" s="283" t="n">
        <f aca="false">IF(Q220=0,0,R220)</f>
        <v>0</v>
      </c>
      <c r="T220" s="283" t="n">
        <f aca="false">IF(N220=1,1,0)</f>
        <v>0</v>
      </c>
      <c r="U220" s="283" t="n">
        <f aca="false">U219+T220</f>
        <v>63</v>
      </c>
      <c r="V220" s="283" t="n">
        <f aca="false">IF(T220=0,0,U220)</f>
        <v>0</v>
      </c>
    </row>
    <row r="221" customFormat="false" ht="26.85" hidden="false" customHeight="false" outlineLevel="0" collapsed="false">
      <c r="A221" s="311" t="str">
        <f aca="false">Questions!$A221</f>
        <v>PCID-06</v>
      </c>
      <c r="B221" s="311" t="str">
        <f aca="false">LEFT(A221,4)</f>
        <v>PCID</v>
      </c>
      <c r="C221" s="311" t="str">
        <f aca="false">VLOOKUP($A221,Questions!$A$3:$L$333,2,0)&amp;""</f>
        <v>Are you classified as a service provider?</v>
      </c>
      <c r="D221" s="311" t="str">
        <f aca="false">VLOOKUP($A221,Questions!$A$3:$L$333,11,0)&amp;""</f>
        <v/>
      </c>
      <c r="E221" s="311" t="str">
        <f aca="false">VLOOKUP($A221,Questions!$A$3:$L$333,12,0)&amp;""</f>
        <v>Case-Specific</v>
      </c>
      <c r="F221" s="311" t="str">
        <f aca="false">VLOOKUP($A221,'Institution Evaluation'!$A$56:$K$346,3,0)&amp;""</f>
        <v/>
      </c>
      <c r="G221" s="311" t="str">
        <f aca="false">VLOOKUP($A221,'Institution Evaluation'!$A$56:$K$346,7,0)&amp;""</f>
        <v>Yes</v>
      </c>
      <c r="H221" s="311" t="str">
        <f aca="false">VLOOKUP($A221,'Institution Evaluation'!$A$56:$K$346,8,0)&amp;""</f>
        <v/>
      </c>
      <c r="I221" s="311" t="str">
        <f aca="false">VLOOKUP($A221,'Institution Evaluation'!$A$56:$K$346,9,0)&amp;""</f>
        <v>Standard Importance</v>
      </c>
      <c r="J221" s="311" t="str">
        <f aca="false">VLOOKUP($A221,'Institution Evaluation'!$A$56:$K$346,10,0)&amp;""</f>
        <v/>
      </c>
      <c r="K221" s="311" t="n">
        <f aca="false">IF($I221="Critical Importance",20,IF($I221="Minor Importance",5,10))</f>
        <v>10</v>
      </c>
      <c r="L221" s="283" t="n">
        <f aca="false">IF($E221="Not Scored", "N/A",IF(AND($D221='Auto Responses'!$J$27,$H221=""),"N/A",IF(AND($D221='Auto Responses'!$J$27,$H221='Auto Responses'!$J$7),1,IF(AND($D221='Auto Responses'!$J$27,$H221='Auto Responses'!$J$8),0,IF(OR($F221=$G221,$H221='Auto Responses'!$J$7),1,0)))))</f>
        <v>0</v>
      </c>
      <c r="M221" s="311" t="str">
        <f aca="false">VLOOKUP($A221,'Institution Evaluation'!$A$56:$K$346,10,0)&amp;""</f>
        <v/>
      </c>
      <c r="N221" s="311" t="n">
        <f aca="false">IF($J221="Critical Importance",1,IF(AND($J221="",$I221="Critical Importance"),1,0))</f>
        <v>0</v>
      </c>
      <c r="O221" s="283" t="str">
        <f aca="false">IF(OR($F$22="No",$E221="Not Scored"),"N/A",IF($J221="",$K221,IF($J221="Minor Importance",5,IF($J221="Standard Importance",10,IF($J221="Critical Importance",20,0)))))</f>
        <v>N/A</v>
      </c>
      <c r="P221" s="283" t="str">
        <f aca="false">IF(OR($O221="N/A",$L221="N/A"),"N/A",$O221*$L221)</f>
        <v>N/A</v>
      </c>
      <c r="Q221" s="283" t="n">
        <f aca="false">IF(M221="TRUE",1,0)</f>
        <v>0</v>
      </c>
      <c r="R221" s="283" t="n">
        <f aca="false">R220+Q221</f>
        <v>0</v>
      </c>
      <c r="S221" s="283" t="n">
        <f aca="false">IF(Q221=0,0,R221)</f>
        <v>0</v>
      </c>
      <c r="T221" s="283" t="n">
        <f aca="false">IF(N221=1,1,0)</f>
        <v>0</v>
      </c>
      <c r="U221" s="283" t="n">
        <f aca="false">U220+T221</f>
        <v>63</v>
      </c>
      <c r="V221" s="283" t="n">
        <f aca="false">IF(T221=0,0,U221)</f>
        <v>0</v>
      </c>
    </row>
    <row r="222" customFormat="false" ht="26.85" hidden="false" customHeight="false" outlineLevel="0" collapsed="false">
      <c r="A222" s="311" t="str">
        <f aca="false">Questions!$A222</f>
        <v>PCID-07</v>
      </c>
      <c r="B222" s="311" t="str">
        <f aca="false">LEFT(A222,4)</f>
        <v>PCID</v>
      </c>
      <c r="C222" s="311" t="str">
        <f aca="false">VLOOKUP($A222,Questions!$A$3:$L$333,2,0)&amp;""</f>
        <v>Are you on the list of Visa approved service providers?</v>
      </c>
      <c r="D222" s="311" t="str">
        <f aca="false">VLOOKUP($A222,Questions!$A$3:$L$333,11,0)&amp;""</f>
        <v/>
      </c>
      <c r="E222" s="311" t="str">
        <f aca="false">VLOOKUP($A222,Questions!$A$3:$L$333,12,0)&amp;""</f>
        <v>Case-Specific</v>
      </c>
      <c r="F222" s="311" t="str">
        <f aca="false">VLOOKUP($A222,'Institution Evaluation'!$A$56:$K$346,3,0)&amp;""</f>
        <v/>
      </c>
      <c r="G222" s="311" t="str">
        <f aca="false">VLOOKUP($A222,'Institution Evaluation'!$A$56:$K$346,7,0)&amp;""</f>
        <v>Yes</v>
      </c>
      <c r="H222" s="311" t="str">
        <f aca="false">VLOOKUP($A222,'Institution Evaluation'!$A$56:$K$346,8,0)&amp;""</f>
        <v/>
      </c>
      <c r="I222" s="311" t="str">
        <f aca="false">VLOOKUP($A222,'Institution Evaluation'!$A$56:$K$346,9,0)&amp;""</f>
        <v>Standard Importance</v>
      </c>
      <c r="J222" s="311" t="str">
        <f aca="false">VLOOKUP($A222,'Institution Evaluation'!$A$56:$K$346,10,0)&amp;""</f>
        <v/>
      </c>
      <c r="K222" s="311" t="n">
        <f aca="false">IF($I222="Critical Importance",20,IF($I222="Minor Importance",5,10))</f>
        <v>10</v>
      </c>
      <c r="L222" s="283" t="n">
        <f aca="false">IF($E222="Not Scored", "N/A",IF(AND($D222='Auto Responses'!$J$27,$H222=""),"N/A",IF(AND($D222='Auto Responses'!$J$27,$H222='Auto Responses'!$J$7),1,IF(AND($D222='Auto Responses'!$J$27,$H222='Auto Responses'!$J$8),0,IF(OR($F222=$G222,$H222='Auto Responses'!$J$7),1,0)))))</f>
        <v>0</v>
      </c>
      <c r="M222" s="311" t="str">
        <f aca="false">VLOOKUP($A222,'Institution Evaluation'!$A$56:$K$346,10,0)&amp;""</f>
        <v/>
      </c>
      <c r="N222" s="311" t="n">
        <f aca="false">IF($J222="Critical Importance",1,IF(AND($J222="",$I222="Critical Importance"),1,0))</f>
        <v>0</v>
      </c>
      <c r="O222" s="283" t="str">
        <f aca="false">IF(OR($F$22="No",$E222="Not Scored"),"N/A",IF($J222="",$K222,IF($J222="Minor Importance",5,IF($J222="Standard Importance",10,IF($J222="Critical Importance",20,0)))))</f>
        <v>N/A</v>
      </c>
      <c r="P222" s="283" t="str">
        <f aca="false">IF(OR($O222="N/A",$L222="N/A"),"N/A",$O222*$L222)</f>
        <v>N/A</v>
      </c>
      <c r="Q222" s="283" t="n">
        <f aca="false">IF(M222="TRUE",1,0)</f>
        <v>0</v>
      </c>
      <c r="R222" s="283" t="n">
        <f aca="false">R221+Q222</f>
        <v>0</v>
      </c>
      <c r="S222" s="283" t="n">
        <f aca="false">IF(Q222=0,0,R222)</f>
        <v>0</v>
      </c>
      <c r="T222" s="283" t="n">
        <f aca="false">IF(N222=1,1,0)</f>
        <v>0</v>
      </c>
      <c r="U222" s="283" t="n">
        <f aca="false">U221+T222</f>
        <v>63</v>
      </c>
      <c r="V222" s="283" t="n">
        <f aca="false">IF(T222=0,0,U222)</f>
        <v>0</v>
      </c>
    </row>
    <row r="223" customFormat="false" ht="26.85" hidden="false" customHeight="false" outlineLevel="0" collapsed="false">
      <c r="A223" s="311" t="str">
        <f aca="false">Questions!$A223</f>
        <v>PCID-08</v>
      </c>
      <c r="B223" s="311" t="str">
        <f aca="false">LEFT(A223,4)</f>
        <v>PCID</v>
      </c>
      <c r="C223" s="311" t="str">
        <f aca="false">VLOOKUP($A223,Questions!$A$3:$L$333,2,0)&amp;""</f>
        <v>Are you classified as a merchant? If so, what level (1, 2, 3, 4)?</v>
      </c>
      <c r="D223" s="311" t="str">
        <f aca="false">VLOOKUP($A223,Questions!$A$3:$L$333,11,0)&amp;""</f>
        <v/>
      </c>
      <c r="E223" s="311" t="str">
        <f aca="false">VLOOKUP($A223,Questions!$A$3:$L$333,12,0)&amp;""</f>
        <v>Case-Specific</v>
      </c>
      <c r="F223" s="311" t="str">
        <f aca="false">VLOOKUP($A223,'Institution Evaluation'!$A$56:$K$346,3,0)&amp;""</f>
        <v/>
      </c>
      <c r="G223" s="311" t="str">
        <f aca="false">VLOOKUP($A223,'Institution Evaluation'!$A$56:$K$346,7,0)&amp;""</f>
        <v>Yes</v>
      </c>
      <c r="H223" s="311" t="str">
        <f aca="false">VLOOKUP($A223,'Institution Evaluation'!$A$56:$K$346,8,0)&amp;""</f>
        <v/>
      </c>
      <c r="I223" s="311" t="str">
        <f aca="false">VLOOKUP($A223,'Institution Evaluation'!$A$56:$K$346,9,0)&amp;""</f>
        <v>Standard Importance</v>
      </c>
      <c r="J223" s="311" t="str">
        <f aca="false">VLOOKUP($A223,'Institution Evaluation'!$A$56:$K$346,10,0)&amp;""</f>
        <v/>
      </c>
      <c r="K223" s="311" t="n">
        <f aca="false">IF($I223="Critical Importance",20,IF($I223="Minor Importance",5,10))</f>
        <v>10</v>
      </c>
      <c r="L223" s="283" t="n">
        <f aca="false">IF($E223="Not Scored", "N/A",IF(AND($D223='Auto Responses'!$J$27,$H223=""),"N/A",IF(AND($D223='Auto Responses'!$J$27,$H223='Auto Responses'!$J$7),1,IF(AND($D223='Auto Responses'!$J$27,$H223='Auto Responses'!$J$8),0,IF(OR($F223=$G223,$H223='Auto Responses'!$J$7),1,0)))))</f>
        <v>0</v>
      </c>
      <c r="M223" s="311" t="str">
        <f aca="false">VLOOKUP($A223,'Institution Evaluation'!$A$56:$K$346,10,0)&amp;""</f>
        <v/>
      </c>
      <c r="N223" s="311" t="n">
        <f aca="false">IF($J223="Critical Importance",1,IF(AND($J223="",$I223="Critical Importance"),1,0))</f>
        <v>0</v>
      </c>
      <c r="O223" s="283" t="str">
        <f aca="false">IF(OR($F$22="No",$E223="Not Scored"),"N/A",IF($J223="",$K223,IF($J223="Minor Importance",5,IF($J223="Standard Importance",10,IF($J223="Critical Importance",20,0)))))</f>
        <v>N/A</v>
      </c>
      <c r="P223" s="283" t="str">
        <f aca="false">IF(OR($O223="N/A",$L223="N/A"),"N/A",$O223*$L223)</f>
        <v>N/A</v>
      </c>
      <c r="Q223" s="283" t="n">
        <f aca="false">IF(M223="TRUE",1,0)</f>
        <v>0</v>
      </c>
      <c r="R223" s="283" t="n">
        <f aca="false">R222+Q223</f>
        <v>0</v>
      </c>
      <c r="S223" s="283" t="n">
        <f aca="false">IF(Q223=0,0,R223)</f>
        <v>0</v>
      </c>
      <c r="T223" s="283" t="n">
        <f aca="false">IF(N223=1,1,0)</f>
        <v>0</v>
      </c>
      <c r="U223" s="283" t="n">
        <f aca="false">U222+T223</f>
        <v>63</v>
      </c>
      <c r="V223" s="283" t="n">
        <f aca="false">IF(T223=0,0,U223)</f>
        <v>0</v>
      </c>
    </row>
    <row r="224" customFormat="false" ht="39.55" hidden="false" customHeight="false" outlineLevel="0" collapsed="false">
      <c r="A224" s="311" t="str">
        <f aca="false">Questions!$A224</f>
        <v>PCID-09</v>
      </c>
      <c r="B224" s="311" t="str">
        <f aca="false">LEFT(A224,4)</f>
        <v>PCID</v>
      </c>
      <c r="C224" s="311" t="str">
        <f aca="false">VLOOKUP($A224,Questions!$A$3:$L$333,2,0)&amp;""</f>
        <v>Describe the architecture employed by the system to verify and authorize credit card transactions.</v>
      </c>
      <c r="D224" s="311" t="str">
        <f aca="false">VLOOKUP($A224,Questions!$A$3:$L$333,11,0)&amp;""</f>
        <v/>
      </c>
      <c r="E224" s="311" t="str">
        <f aca="false">VLOOKUP($A224,Questions!$A$3:$L$333,12,0)&amp;""</f>
        <v>Not scored</v>
      </c>
      <c r="F224" s="311" t="str">
        <f aca="false">VLOOKUP($A224,'Institution Evaluation'!$A$56:$K$346,3,0)&amp;""</f>
        <v/>
      </c>
      <c r="G224" s="311" t="str">
        <f aca="false">VLOOKUP($A224,'Institution Evaluation'!$A$56:$K$346,7,0)&amp;""</f>
        <v>Not scored</v>
      </c>
      <c r="H224" s="311" t="str">
        <f aca="false">VLOOKUP($A224,'Institution Evaluation'!$A$56:$K$346,8,0)&amp;""</f>
        <v/>
      </c>
      <c r="I224" s="311" t="str">
        <f aca="false">VLOOKUP($A224,'Institution Evaluation'!$A$56:$K$346,9,0)&amp;""</f>
        <v/>
      </c>
      <c r="J224" s="311" t="str">
        <f aca="false">VLOOKUP($A224,'Institution Evaluation'!$A$56:$K$346,10,0)&amp;""</f>
        <v/>
      </c>
      <c r="K224" s="311" t="n">
        <f aca="false">IF($I224="Critical Importance",20,IF($I224="Minor Importance",5,10))</f>
        <v>10</v>
      </c>
      <c r="L224" s="283" t="str">
        <f aca="false">IF($E224="Not Scored", "N/A",IF(AND($D224='Auto Responses'!$J$27,$H224=""),"N/A",IF(AND($D224='Auto Responses'!$J$27,$H224='Auto Responses'!$J$7),1,IF(AND($D224='Auto Responses'!$J$27,$H224='Auto Responses'!$J$8),0,IF(OR($F224=$G224,$H224='Auto Responses'!$J$7),1,0)))))</f>
        <v>N/A</v>
      </c>
      <c r="M224" s="311" t="str">
        <f aca="false">VLOOKUP($A224,'Institution Evaluation'!$A$56:$K$346,10,0)&amp;""</f>
        <v/>
      </c>
      <c r="N224" s="311" t="n">
        <f aca="false">IF($J224="Critical Importance",1,IF(AND($J224="",$I224="Critical Importance"),1,0))</f>
        <v>0</v>
      </c>
      <c r="O224" s="283" t="str">
        <f aca="false">IF(OR($F$22="No",$E224="Not Scored"),"N/A",IF($J224="",$K224,IF($J224="Minor Importance",5,IF($J224="Standard Importance",10,IF($J224="Critical Importance",20,0)))))</f>
        <v>N/A</v>
      </c>
      <c r="P224" s="283" t="str">
        <f aca="false">IF(OR($O224="N/A",$L224="N/A"),"N/A",$O224*$L224)</f>
        <v>N/A</v>
      </c>
      <c r="Q224" s="283" t="n">
        <f aca="false">IF(M224="TRUE",1,0)</f>
        <v>0</v>
      </c>
      <c r="R224" s="283" t="n">
        <f aca="false">R223+Q224</f>
        <v>0</v>
      </c>
      <c r="S224" s="283" t="n">
        <f aca="false">IF(Q224=0,0,R224)</f>
        <v>0</v>
      </c>
      <c r="T224" s="283" t="n">
        <f aca="false">IF(N224=1,1,0)</f>
        <v>0</v>
      </c>
      <c r="U224" s="283" t="n">
        <f aca="false">U223+T224</f>
        <v>63</v>
      </c>
      <c r="V224" s="283" t="n">
        <f aca="false">IF(T224=0,0,U224)</f>
        <v>0</v>
      </c>
    </row>
    <row r="225" customFormat="false" ht="26.85" hidden="false" customHeight="false" outlineLevel="0" collapsed="false">
      <c r="A225" s="311" t="str">
        <f aca="false">Questions!$A225</f>
        <v>PCID-10</v>
      </c>
      <c r="B225" s="311" t="str">
        <f aca="false">LEFT(A225,4)</f>
        <v>PCID</v>
      </c>
      <c r="C225" s="311" t="str">
        <f aca="false">VLOOKUP($A225,Questions!$A$3:$L$333,2,0)&amp;""</f>
        <v>What payment processors/gateways does the system support?</v>
      </c>
      <c r="D225" s="311" t="str">
        <f aca="false">VLOOKUP($A225,Questions!$A$3:$L$333,11,0)&amp;""</f>
        <v/>
      </c>
      <c r="E225" s="311" t="str">
        <f aca="false">VLOOKUP($A225,Questions!$A$3:$L$333,12,0)&amp;""</f>
        <v>Case-Specific</v>
      </c>
      <c r="F225" s="311" t="str">
        <f aca="false">VLOOKUP($A225,'Institution Evaluation'!$A$56:$K$346,3,0)&amp;""</f>
        <v/>
      </c>
      <c r="G225" s="311" t="str">
        <f aca="false">VLOOKUP($A225,'Institution Evaluation'!$A$56:$K$346,7,0)&amp;""</f>
        <v>Not scored</v>
      </c>
      <c r="H225" s="311" t="str">
        <f aca="false">VLOOKUP($A225,'Institution Evaluation'!$A$56:$K$346,8,0)&amp;""</f>
        <v/>
      </c>
      <c r="I225" s="311" t="str">
        <f aca="false">VLOOKUP($A225,'Institution Evaluation'!$A$56:$K$346,9,0)&amp;""</f>
        <v/>
      </c>
      <c r="J225" s="311" t="str">
        <f aca="false">VLOOKUP($A225,'Institution Evaluation'!$A$56:$K$346,10,0)&amp;""</f>
        <v/>
      </c>
      <c r="K225" s="311" t="n">
        <f aca="false">IF($I225="Critical Importance",20,IF($I225="Minor Importance",5,10))</f>
        <v>10</v>
      </c>
      <c r="L225" s="283" t="n">
        <f aca="false">IF($E225="Not Scored", "N/A",IF(AND($D225='Auto Responses'!$J$27,$H225=""),"N/A",IF(AND($D225='Auto Responses'!$J$27,$H225='Auto Responses'!$J$7),1,IF(AND($D225='Auto Responses'!$J$27,$H225='Auto Responses'!$J$8),0,IF(OR($F225=$G225,$H225='Auto Responses'!$J$7),1,0)))))</f>
        <v>0</v>
      </c>
      <c r="M225" s="311" t="str">
        <f aca="false">VLOOKUP($A225,'Institution Evaluation'!$A$56:$K$346,10,0)&amp;""</f>
        <v/>
      </c>
      <c r="N225" s="311" t="n">
        <f aca="false">IF($J225="Critical Importance",1,IF(AND($J225="",$I225="Critical Importance"),1,0))</f>
        <v>0</v>
      </c>
      <c r="O225" s="283" t="str">
        <f aca="false">IF(OR($F$22="No",$E225="Not Scored"),"N/A",IF($J225="",$K225,IF($J225="Minor Importance",5,IF($J225="Standard Importance",10,IF($J225="Critical Importance",20,0)))))</f>
        <v>N/A</v>
      </c>
      <c r="P225" s="283" t="str">
        <f aca="false">IF(OR($O225="N/A",$L225="N/A"),"N/A",$O225*$L225)</f>
        <v>N/A</v>
      </c>
      <c r="Q225" s="283" t="n">
        <f aca="false">IF(M225="TRUE",1,0)</f>
        <v>0</v>
      </c>
      <c r="R225" s="283" t="n">
        <f aca="false">R224+Q225</f>
        <v>0</v>
      </c>
      <c r="S225" s="283" t="n">
        <f aca="false">IF(Q225=0,0,R225)</f>
        <v>0</v>
      </c>
      <c r="T225" s="283" t="n">
        <f aca="false">IF(N225=1,1,0)</f>
        <v>0</v>
      </c>
      <c r="U225" s="283" t="n">
        <f aca="false">U224+T225</f>
        <v>63</v>
      </c>
      <c r="V225" s="283" t="n">
        <f aca="false">IF(T225=0,0,U225)</f>
        <v>0</v>
      </c>
    </row>
    <row r="226" customFormat="false" ht="26.85" hidden="false" customHeight="false" outlineLevel="0" collapsed="false">
      <c r="A226" s="311" t="str">
        <f aca="false">Questions!$A226</f>
        <v>PCID-11</v>
      </c>
      <c r="B226" s="311" t="str">
        <f aca="false">LEFT(A226,4)</f>
        <v>PCID</v>
      </c>
      <c r="C226" s="311" t="str">
        <f aca="false">VLOOKUP($A226,Questions!$A$3:$L$333,2,0)&amp;""</f>
        <v>Can the application be installed in a PCI DSS–compliant manner?</v>
      </c>
      <c r="D226" s="311" t="str">
        <f aca="false">VLOOKUP($A226,Questions!$A$3:$L$333,11,0)&amp;""</f>
        <v/>
      </c>
      <c r="E226" s="311" t="str">
        <f aca="false">VLOOKUP($A226,Questions!$A$3:$L$333,12,0)&amp;""</f>
        <v>Case-Specific</v>
      </c>
      <c r="F226" s="311" t="str">
        <f aca="false">VLOOKUP($A226,'Institution Evaluation'!$A$56:$K$346,3,0)&amp;""</f>
        <v/>
      </c>
      <c r="G226" s="311" t="str">
        <f aca="false">VLOOKUP($A226,'Institution Evaluation'!$A$56:$K$346,7,0)&amp;""</f>
        <v>Yes</v>
      </c>
      <c r="H226" s="311" t="str">
        <f aca="false">VLOOKUP($A226,'Institution Evaluation'!$A$56:$K$346,8,0)&amp;""</f>
        <v/>
      </c>
      <c r="I226" s="311" t="str">
        <f aca="false">VLOOKUP($A226,'Institution Evaluation'!$A$56:$K$346,9,0)&amp;""</f>
        <v>Minor Importance</v>
      </c>
      <c r="J226" s="311" t="str">
        <f aca="false">VLOOKUP($A226,'Institution Evaluation'!$A$56:$K$346,10,0)&amp;""</f>
        <v/>
      </c>
      <c r="K226" s="311" t="n">
        <f aca="false">IF($I226="Critical Importance",20,IF($I226="Minor Importance",5,10))</f>
        <v>5</v>
      </c>
      <c r="L226" s="283" t="n">
        <f aca="false">IF($E226="Not Scored", "N/A",IF(AND($D226='Auto Responses'!$J$27,$H226=""),"N/A",IF(AND($D226='Auto Responses'!$J$27,$H226='Auto Responses'!$J$7),1,IF(AND($D226='Auto Responses'!$J$27,$H226='Auto Responses'!$J$8),0,IF(OR($F226=$G226,$H226='Auto Responses'!$J$7),1,0)))))</f>
        <v>0</v>
      </c>
      <c r="M226" s="311" t="str">
        <f aca="false">VLOOKUP($A226,'Institution Evaluation'!$A$56:$K$346,10,0)&amp;""</f>
        <v/>
      </c>
      <c r="N226" s="311" t="n">
        <f aca="false">IF($J226="Critical Importance",1,IF(AND($J226="",$I226="Critical Importance"),1,0))</f>
        <v>0</v>
      </c>
      <c r="O226" s="283" t="str">
        <f aca="false">IF(OR($F$22="No",$E226="Not Scored"),"N/A",IF($J226="",$K226,IF($J226="Minor Importance",5,IF($J226="Standard Importance",10,IF($J226="Critical Importance",20,0)))))</f>
        <v>N/A</v>
      </c>
      <c r="P226" s="283" t="str">
        <f aca="false">IF(OR($O226="N/A",$L226="N/A"),"N/A",$O226*$L226)</f>
        <v>N/A</v>
      </c>
      <c r="Q226" s="283" t="n">
        <f aca="false">IF(M226="TRUE",1,0)</f>
        <v>0</v>
      </c>
      <c r="R226" s="283" t="n">
        <f aca="false">R225+Q226</f>
        <v>0</v>
      </c>
      <c r="S226" s="283" t="n">
        <f aca="false">IF(Q226=0,0,R226)</f>
        <v>0</v>
      </c>
      <c r="T226" s="283" t="n">
        <f aca="false">IF(N226=1,1,0)</f>
        <v>0</v>
      </c>
      <c r="U226" s="283" t="n">
        <f aca="false">U225+T226</f>
        <v>63</v>
      </c>
      <c r="V226" s="283" t="n">
        <f aca="false">IF(T226=0,0,U226)</f>
        <v>0</v>
      </c>
    </row>
    <row r="227" customFormat="false" ht="64.9" hidden="false" customHeight="false" outlineLevel="0" collapsed="false">
      <c r="A227" s="311" t="str">
        <f aca="false">Questions!$A227</f>
        <v>PCID-12</v>
      </c>
      <c r="B227" s="311" t="str">
        <f aca="false">LEFT(A227,4)</f>
        <v>PCID</v>
      </c>
      <c r="C227" s="311" t="str">
        <f aca="false">VLOOKUP($A227,Questions!$A$3:$L$333,2,0)&amp;""</f>
        <v>Include documentation describing the system's abilities to comply with the PCI DSS and any features or capabilities of the system that must be added or changed in order to operate in compliance with the standards.</v>
      </c>
      <c r="D227" s="311" t="str">
        <f aca="false">VLOOKUP($A227,Questions!$A$3:$L$333,11,0)&amp;""</f>
        <v/>
      </c>
      <c r="E227" s="311" t="str">
        <f aca="false">VLOOKUP($A227,Questions!$A$3:$L$333,12,0)&amp;""</f>
        <v>Not scored</v>
      </c>
      <c r="F227" s="311" t="str">
        <f aca="false">VLOOKUP($A227,'Institution Evaluation'!$A$56:$K$346,3,0)&amp;""</f>
        <v/>
      </c>
      <c r="G227" s="311" t="str">
        <f aca="false">VLOOKUP($A227,'Institution Evaluation'!$A$56:$K$346,7,0)&amp;""</f>
        <v>Not scored</v>
      </c>
      <c r="H227" s="311" t="str">
        <f aca="false">VLOOKUP($A227,'Institution Evaluation'!$A$56:$K$346,8,0)&amp;""</f>
        <v/>
      </c>
      <c r="I227" s="311" t="str">
        <f aca="false">VLOOKUP($A227,'Institution Evaluation'!$A$56:$K$346,9,0)&amp;""</f>
        <v/>
      </c>
      <c r="J227" s="311" t="str">
        <f aca="false">VLOOKUP($A227,'Institution Evaluation'!$A$56:$K$346,10,0)&amp;""</f>
        <v/>
      </c>
      <c r="K227" s="311" t="n">
        <f aca="false">IF($I227="Critical Importance",20,IF($I227="Minor Importance",5,10))</f>
        <v>10</v>
      </c>
      <c r="L227" s="283" t="str">
        <f aca="false">IF($E227="Not Scored", "N/A",IF(AND($D227='Auto Responses'!$J$27,$H227=""),"N/A",IF(AND($D227='Auto Responses'!$J$27,$H227='Auto Responses'!$J$7),1,IF(AND($D227='Auto Responses'!$J$27,$H227='Auto Responses'!$J$8),0,IF(OR($F227=$G227,$H227='Auto Responses'!$J$7),1,0)))))</f>
        <v>N/A</v>
      </c>
      <c r="M227" s="311" t="str">
        <f aca="false">VLOOKUP($A227,'Institution Evaluation'!$A$56:$K$346,10,0)&amp;""</f>
        <v/>
      </c>
      <c r="N227" s="311" t="n">
        <f aca="false">IF($J227="Critical Importance",1,IF(AND($J227="",$I227="Critical Importance"),1,0))</f>
        <v>0</v>
      </c>
      <c r="O227" s="283" t="str">
        <f aca="false">IF(OR($F$22="No",$E227="Not Scored"),"N/A",IF($J227="",$K227,IF($J227="Minor Importance",5,IF($J227="Standard Importance",10,IF($J227="Critical Importance",20,0)))))</f>
        <v>N/A</v>
      </c>
      <c r="P227" s="283" t="str">
        <f aca="false">IF(OR($O227="N/A",$L227="N/A"),"N/A",$O227*$L227)</f>
        <v>N/A</v>
      </c>
      <c r="Q227" s="283" t="n">
        <f aca="false">IF(M227="TRUE",1,0)</f>
        <v>0</v>
      </c>
      <c r="R227" s="283" t="n">
        <f aca="false">R226+Q227</f>
        <v>0</v>
      </c>
      <c r="S227" s="283" t="n">
        <f aca="false">IF(Q227=0,0,R227)</f>
        <v>0</v>
      </c>
      <c r="T227" s="283" t="n">
        <f aca="false">IF(N227=1,1,0)</f>
        <v>0</v>
      </c>
      <c r="U227" s="283" t="n">
        <f aca="false">U226+T227</f>
        <v>63</v>
      </c>
      <c r="V227" s="283" t="n">
        <f aca="false">IF(T227=0,0,U227)</f>
        <v>0</v>
      </c>
    </row>
    <row r="228" customFormat="false" ht="26.85" hidden="false" customHeight="false" outlineLevel="0" collapsed="false">
      <c r="A228" s="311" t="str">
        <f aca="false">Questions!$A228</f>
        <v>OPEM-01</v>
      </c>
      <c r="B228" s="311" t="str">
        <f aca="false">LEFT(A228,4)</f>
        <v>OPEM</v>
      </c>
      <c r="C228" s="311" t="str">
        <f aca="false">VLOOKUP($A228,Questions!$A$3:$L$333,2,0)&amp;""</f>
        <v>Do you support role-based access control (RBAC) for system administrators?</v>
      </c>
      <c r="D228" s="311" t="str">
        <f aca="false">VLOOKUP($A228,Questions!$A$3:$L$333,11,0)&amp;""</f>
        <v/>
      </c>
      <c r="E228" s="311" t="str">
        <f aca="false">VLOOKUP($A228,Questions!$A$3:$L$333,12,0)&amp;""</f>
        <v>Case-Specific</v>
      </c>
      <c r="F228" s="311" t="str">
        <f aca="false">VLOOKUP($A228,'Institution Evaluation'!$A$56:$K$346,3,0)&amp;""</f>
        <v/>
      </c>
      <c r="G228" s="311" t="str">
        <f aca="false">VLOOKUP($A228,'Institution Evaluation'!$A$56:$K$346,7,0)&amp;""</f>
        <v>Yes</v>
      </c>
      <c r="H228" s="311" t="str">
        <f aca="false">VLOOKUP($A228,'Institution Evaluation'!$A$56:$K$346,8,0)&amp;""</f>
        <v/>
      </c>
      <c r="I228" s="311" t="str">
        <f aca="false">VLOOKUP($A228,'Institution Evaluation'!$A$56:$K$346,9,0)&amp;""</f>
        <v>Standard Importance</v>
      </c>
      <c r="J228" s="311" t="str">
        <f aca="false">VLOOKUP($A228,'Institution Evaluation'!$A$56:$K$346,10,0)&amp;""</f>
        <v/>
      </c>
      <c r="K228" s="311" t="n">
        <f aca="false">IF($I228="Critical Importance",20,IF($I228="Minor Importance",5,10))</f>
        <v>10</v>
      </c>
      <c r="L228" s="283" t="n">
        <f aca="false">IF($E228="Not Scored", "N/A",IF(AND($D228='Auto Responses'!$J$27,$H228=""),"N/A",IF(AND($D228='Auto Responses'!$J$27,$H228='Auto Responses'!$J$7),1,IF(AND($D228='Auto Responses'!$J$27,$H228='Auto Responses'!$J$8),0,IF(OR($F228=$G228,$H228='Auto Responses'!$J$7),1,0)))))</f>
        <v>0</v>
      </c>
      <c r="M228" s="311" t="str">
        <f aca="false">VLOOKUP($A228,'Institution Evaluation'!$A$56:$K$346,10,0)&amp;""</f>
        <v/>
      </c>
      <c r="N228" s="311" t="n">
        <f aca="false">IF($J228="Critical Importance",1,IF(AND($J228="",$I228="Critical Importance"),1,0))</f>
        <v>0</v>
      </c>
      <c r="O228" s="283" t="str">
        <f aca="false">IF(OR($F$23="No",$E228="Not Scored"),"N/A",IF($J228="",$K228,IF($J228="Minor Importance",5,IF($J228="Standard Importance",10,IF($J228="Critical Importance",20,0)))))</f>
        <v>N/A</v>
      </c>
      <c r="P228" s="283" t="str">
        <f aca="false">IF(OR($O228="N/A",$L228="N/A"),"N/A",$O228*$L228)</f>
        <v>N/A</v>
      </c>
      <c r="Q228" s="283" t="n">
        <f aca="false">IF(M228="TRUE",1,0)</f>
        <v>0</v>
      </c>
      <c r="R228" s="283" t="n">
        <f aca="false">R227+Q228</f>
        <v>0</v>
      </c>
      <c r="S228" s="283" t="n">
        <f aca="false">IF(Q228=0,0,R228)</f>
        <v>0</v>
      </c>
      <c r="T228" s="283" t="n">
        <f aca="false">IF(N228=1,1,0)</f>
        <v>0</v>
      </c>
      <c r="U228" s="283" t="n">
        <f aca="false">U227+T228</f>
        <v>63</v>
      </c>
      <c r="V228" s="283" t="n">
        <f aca="false">IF(T228=0,0,U228)</f>
        <v>0</v>
      </c>
    </row>
    <row r="229" customFormat="false" ht="26.85" hidden="false" customHeight="false" outlineLevel="0" collapsed="false">
      <c r="A229" s="311" t="str">
        <f aca="false">Questions!$A229</f>
        <v>OPEM-02</v>
      </c>
      <c r="B229" s="311" t="str">
        <f aca="false">LEFT(A229,4)</f>
        <v>OPEM</v>
      </c>
      <c r="C229" s="311" t="str">
        <f aca="false">VLOOKUP($A229,Questions!$A$3:$L$333,2,0)&amp;""</f>
        <v>Can your employees access customer systems remotely?</v>
      </c>
      <c r="D229" s="311" t="str">
        <f aca="false">VLOOKUP($A229,Questions!$A$3:$L$333,11,0)&amp;""</f>
        <v/>
      </c>
      <c r="E229" s="311" t="str">
        <f aca="false">VLOOKUP($A229,Questions!$A$3:$L$333,12,0)&amp;""</f>
        <v>Case-Specific</v>
      </c>
      <c r="F229" s="311" t="str">
        <f aca="false">VLOOKUP($A229,'Institution Evaluation'!$A$56:$K$346,3,0)&amp;""</f>
        <v/>
      </c>
      <c r="G229" s="311" t="str">
        <f aca="false">VLOOKUP($A229,'Institution Evaluation'!$A$56:$K$346,7,0)&amp;""</f>
        <v>No</v>
      </c>
      <c r="H229" s="311" t="str">
        <f aca="false">VLOOKUP($A229,'Institution Evaluation'!$A$56:$K$346,8,0)&amp;""</f>
        <v/>
      </c>
      <c r="I229" s="311" t="str">
        <f aca="false">VLOOKUP($A229,'Institution Evaluation'!$A$56:$K$346,9,0)&amp;""</f>
        <v>Standard Importance</v>
      </c>
      <c r="J229" s="311" t="str">
        <f aca="false">VLOOKUP($A229,'Institution Evaluation'!$A$56:$K$346,10,0)&amp;""</f>
        <v/>
      </c>
      <c r="K229" s="311" t="n">
        <f aca="false">IF($I229="Critical Importance",20,IF($I229="Minor Importance",5,10))</f>
        <v>10</v>
      </c>
      <c r="L229" s="283" t="n">
        <f aca="false">IF($E229="Not Scored", "N/A",IF(AND($D229='Auto Responses'!$J$27,$H229=""),"N/A",IF(AND($D229='Auto Responses'!$J$27,$H229='Auto Responses'!$J$7),1,IF(AND($D229='Auto Responses'!$J$27,$H229='Auto Responses'!$J$8),0,IF(OR($F229=$G229,$H229='Auto Responses'!$J$7),1,0)))))</f>
        <v>0</v>
      </c>
      <c r="M229" s="311" t="str">
        <f aca="false">VLOOKUP($A229,'Institution Evaluation'!$A$56:$K$346,10,0)&amp;""</f>
        <v/>
      </c>
      <c r="N229" s="311" t="n">
        <f aca="false">IF($J229="Critical Importance",1,IF(AND($J229="",$I229="Critical Importance"),1,0))</f>
        <v>0</v>
      </c>
      <c r="O229" s="283" t="str">
        <f aca="false">IF(OR($F$23="No",$E229="Not Scored"),"N/A",IF($J229="",$K229,IF($J229="Minor Importance",5,IF($J229="Standard Importance",10,IF($J229="Critical Importance",20,0)))))</f>
        <v>N/A</v>
      </c>
      <c r="P229" s="283" t="str">
        <f aca="false">IF(OR($O229="N/A",$L229="N/A"),"N/A",$O229*$L229)</f>
        <v>N/A</v>
      </c>
      <c r="Q229" s="283" t="n">
        <f aca="false">IF(M229="TRUE",1,0)</f>
        <v>0</v>
      </c>
      <c r="R229" s="283" t="n">
        <f aca="false">R228+Q229</f>
        <v>0</v>
      </c>
      <c r="S229" s="283" t="n">
        <f aca="false">IF(Q229=0,0,R229)</f>
        <v>0</v>
      </c>
      <c r="T229" s="283" t="n">
        <f aca="false">IF(N229=1,1,0)</f>
        <v>0</v>
      </c>
      <c r="U229" s="283" t="n">
        <f aca="false">U228+T229</f>
        <v>63</v>
      </c>
      <c r="V229" s="283" t="n">
        <f aca="false">IF(T229=0,0,U229)</f>
        <v>0</v>
      </c>
    </row>
    <row r="230" customFormat="false" ht="52.2" hidden="false" customHeight="false" outlineLevel="0" collapsed="false">
      <c r="A230" s="311" t="str">
        <f aca="false">Questions!$A230</f>
        <v>OPEM-03</v>
      </c>
      <c r="B230" s="311" t="str">
        <f aca="false">LEFT(A230,4)</f>
        <v>OPEM</v>
      </c>
      <c r="C230" s="311" t="str">
        <f aca="false">VLOOKUP($A230,Questions!$A$3:$L$333,2,0)&amp;""</f>
        <v>Can you provide overall system and/or application architecture diagrams including a full description of the data communications architecture for all components of the system?</v>
      </c>
      <c r="D230" s="311" t="str">
        <f aca="false">VLOOKUP($A230,Questions!$A$3:$L$333,11,0)&amp;""</f>
        <v/>
      </c>
      <c r="E230" s="311" t="str">
        <f aca="false">VLOOKUP($A230,Questions!$A$3:$L$333,12,0)&amp;""</f>
        <v>Case-Specific</v>
      </c>
      <c r="F230" s="311" t="str">
        <f aca="false">VLOOKUP($A230,'Institution Evaluation'!$A$56:$K$346,3,0)&amp;""</f>
        <v/>
      </c>
      <c r="G230" s="311" t="str">
        <f aca="false">VLOOKUP($A230,'Institution Evaluation'!$A$56:$K$346,7,0)&amp;""</f>
        <v>Yes</v>
      </c>
      <c r="H230" s="311" t="str">
        <f aca="false">VLOOKUP($A230,'Institution Evaluation'!$A$56:$K$346,8,0)&amp;""</f>
        <v/>
      </c>
      <c r="I230" s="311" t="str">
        <f aca="false">VLOOKUP($A230,'Institution Evaluation'!$A$56:$K$346,9,0)&amp;""</f>
        <v>Standard Importance</v>
      </c>
      <c r="J230" s="311" t="str">
        <f aca="false">VLOOKUP($A230,'Institution Evaluation'!$A$56:$K$346,10,0)&amp;""</f>
        <v/>
      </c>
      <c r="K230" s="311" t="n">
        <f aca="false">IF($I230="Critical Importance",20,IF($I230="Minor Importance",5,10))</f>
        <v>10</v>
      </c>
      <c r="L230" s="283" t="n">
        <f aca="false">IF($E230="Not Scored", "N/A",IF(AND($D230='Auto Responses'!$J$27,$H230=""),"N/A",IF(AND($D230='Auto Responses'!$J$27,$H230='Auto Responses'!$J$7),1,IF(AND($D230='Auto Responses'!$J$27,$H230='Auto Responses'!$J$8),0,IF(OR($F230=$G230,$H230='Auto Responses'!$J$7),1,0)))))</f>
        <v>0</v>
      </c>
      <c r="M230" s="311" t="str">
        <f aca="false">VLOOKUP($A230,'Institution Evaluation'!$A$56:$K$346,10,0)&amp;""</f>
        <v/>
      </c>
      <c r="N230" s="311" t="n">
        <f aca="false">IF($J230="Critical Importance",1,IF(AND($J230="",$I230="Critical Importance"),1,0))</f>
        <v>0</v>
      </c>
      <c r="O230" s="283" t="str">
        <f aca="false">IF(OR($F$23="No",$E230="Not Scored"),"N/A",IF($J230="",$K230,IF($J230="Minor Importance",5,IF($J230="Standard Importance",10,IF($J230="Critical Importance",20,0)))))</f>
        <v>N/A</v>
      </c>
      <c r="P230" s="283" t="str">
        <f aca="false">IF(OR($O230="N/A",$L230="N/A"),"N/A",$O230*$L230)</f>
        <v>N/A</v>
      </c>
      <c r="Q230" s="283" t="n">
        <f aca="false">IF(M230="TRUE",1,0)</f>
        <v>0</v>
      </c>
      <c r="R230" s="283" t="n">
        <f aca="false">R229+Q230</f>
        <v>0</v>
      </c>
      <c r="S230" s="283" t="n">
        <f aca="false">IF(Q230=0,0,R230)</f>
        <v>0</v>
      </c>
      <c r="T230" s="283" t="n">
        <f aca="false">IF(N230=1,1,0)</f>
        <v>0</v>
      </c>
      <c r="U230" s="283" t="n">
        <f aca="false">U229+T230</f>
        <v>63</v>
      </c>
      <c r="V230" s="283" t="n">
        <f aca="false">IF(T230=0,0,U230)</f>
        <v>0</v>
      </c>
    </row>
    <row r="231" customFormat="false" ht="26.85" hidden="false" customHeight="false" outlineLevel="0" collapsed="false">
      <c r="A231" s="311" t="str">
        <f aca="false">Questions!$A231</f>
        <v>OPEM-04</v>
      </c>
      <c r="B231" s="311" t="str">
        <f aca="false">LEFT(A231,4)</f>
        <v>OPEM</v>
      </c>
      <c r="C231" s="311" t="str">
        <f aca="false">VLOOKUP($A231,Questions!$A$3:$L$333,2,0)&amp;""</f>
        <v>Do you require remote management of the system?</v>
      </c>
      <c r="D231" s="311" t="str">
        <f aca="false">VLOOKUP($A231,Questions!$A$3:$L$333,11,0)&amp;""</f>
        <v/>
      </c>
      <c r="E231" s="311" t="str">
        <f aca="false">VLOOKUP($A231,Questions!$A$3:$L$333,12,0)&amp;""</f>
        <v>Case-Specific</v>
      </c>
      <c r="F231" s="311" t="str">
        <f aca="false">VLOOKUP($A231,'Institution Evaluation'!$A$56:$K$346,3,0)&amp;""</f>
        <v/>
      </c>
      <c r="G231" s="311" t="str">
        <f aca="false">VLOOKUP($A231,'Institution Evaluation'!$A$56:$K$346,7,0)&amp;""</f>
        <v>No</v>
      </c>
      <c r="H231" s="311" t="str">
        <f aca="false">VLOOKUP($A231,'Institution Evaluation'!$A$56:$K$346,8,0)&amp;""</f>
        <v/>
      </c>
      <c r="I231" s="311" t="str">
        <f aca="false">VLOOKUP($A231,'Institution Evaluation'!$A$56:$K$346,9,0)&amp;""</f>
        <v>Standard Importance</v>
      </c>
      <c r="J231" s="311" t="str">
        <f aca="false">VLOOKUP($A231,'Institution Evaluation'!$A$56:$K$346,10,0)&amp;""</f>
        <v/>
      </c>
      <c r="K231" s="311" t="n">
        <f aca="false">IF($I231="Critical Importance",20,IF($I231="Minor Importance",5,10))</f>
        <v>10</v>
      </c>
      <c r="L231" s="283" t="n">
        <f aca="false">IF($E231="Not Scored", "N/A",IF(AND($D231='Auto Responses'!$J$27,$H231=""),"N/A",IF(AND($D231='Auto Responses'!$J$27,$H231='Auto Responses'!$J$7),1,IF(AND($D231='Auto Responses'!$J$27,$H231='Auto Responses'!$J$8),0,IF(OR($F231=$G231,$H231='Auto Responses'!$J$7),1,0)))))</f>
        <v>0</v>
      </c>
      <c r="M231" s="311" t="str">
        <f aca="false">VLOOKUP($A231,'Institution Evaluation'!$A$56:$K$346,10,0)&amp;""</f>
        <v/>
      </c>
      <c r="N231" s="311" t="n">
        <f aca="false">IF($J231="Critical Importance",1,IF(AND($J231="",$I231="Critical Importance"),1,0))</f>
        <v>0</v>
      </c>
      <c r="O231" s="283" t="str">
        <f aca="false">IF(OR($F$23="No",$E231="Not Scored"),"N/A",IF($J231="",$K231,IF($J231="Minor Importance",5,IF($J231="Standard Importance",10,IF($J231="Critical Importance",20,0)))))</f>
        <v>N/A</v>
      </c>
      <c r="P231" s="283" t="str">
        <f aca="false">IF(OR($O231="N/A",$L231="N/A"),"N/A",$O231*$L231)</f>
        <v>N/A</v>
      </c>
      <c r="Q231" s="283" t="n">
        <f aca="false">IF(M231="TRUE",1,0)</f>
        <v>0</v>
      </c>
      <c r="R231" s="283" t="n">
        <f aca="false">R230+Q231</f>
        <v>0</v>
      </c>
      <c r="S231" s="283" t="n">
        <f aca="false">IF(Q231=0,0,R231)</f>
        <v>0</v>
      </c>
      <c r="T231" s="283" t="n">
        <f aca="false">IF(N231=1,1,0)</f>
        <v>0</v>
      </c>
      <c r="U231" s="283" t="n">
        <f aca="false">U230+T231</f>
        <v>63</v>
      </c>
      <c r="V231" s="283" t="n">
        <f aca="false">IF(T231=0,0,U231)</f>
        <v>0</v>
      </c>
    </row>
    <row r="232" customFormat="false" ht="39.55" hidden="false" customHeight="false" outlineLevel="0" collapsed="false">
      <c r="A232" s="311" t="str">
        <f aca="false">Questions!$A232</f>
        <v>OPEM-05</v>
      </c>
      <c r="B232" s="311" t="str">
        <f aca="false">LEFT(A232,4)</f>
        <v>OPEM</v>
      </c>
      <c r="C232" s="311" t="str">
        <f aca="false">VLOOKUP($A232,Questions!$A$3:$L$333,2,0)&amp;""</f>
        <v>If you answered "yes" to OPEM-04, are your remote actions and changes logged or otherwise visible to the campus?</v>
      </c>
      <c r="D232" s="311" t="str">
        <f aca="false">VLOOKUP($A232,Questions!$A$3:$L$333,11,0)&amp;""</f>
        <v/>
      </c>
      <c r="E232" s="311" t="str">
        <f aca="false">VLOOKUP($A232,Questions!$A$3:$L$333,12,0)&amp;""</f>
        <v>Case-Specific</v>
      </c>
      <c r="F232" s="311" t="str">
        <f aca="false">VLOOKUP($A232,'Institution Evaluation'!$A$56:$K$346,3,0)&amp;""</f>
        <v/>
      </c>
      <c r="G232" s="311" t="str">
        <f aca="false">VLOOKUP($A232,'Institution Evaluation'!$A$56:$K$346,7,0)&amp;""</f>
        <v>Yes</v>
      </c>
      <c r="H232" s="311" t="str">
        <f aca="false">VLOOKUP($A232,'Institution Evaluation'!$A$56:$K$346,8,0)&amp;""</f>
        <v/>
      </c>
      <c r="I232" s="311" t="str">
        <f aca="false">VLOOKUP($A232,'Institution Evaluation'!$A$56:$K$346,9,0)&amp;""</f>
        <v>Standard Importance</v>
      </c>
      <c r="J232" s="311" t="str">
        <f aca="false">VLOOKUP($A232,'Institution Evaluation'!$A$56:$K$346,10,0)&amp;""</f>
        <v/>
      </c>
      <c r="K232" s="311" t="n">
        <f aca="false">IF($I232="Critical Importance",20,IF($I232="Minor Importance",5,10))</f>
        <v>10</v>
      </c>
      <c r="L232" s="283" t="n">
        <f aca="false">IF($E232="Not Scored", "N/A",IF(AND($D232='Auto Responses'!$J$27,$H232=""),"N/A",IF(AND($D232='Auto Responses'!$J$27,$H232='Auto Responses'!$J$7),1,IF(AND($D232='Auto Responses'!$J$27,$H232='Auto Responses'!$J$8),0,IF(OR($F232=$G232,$H232='Auto Responses'!$J$7),1,0)))))</f>
        <v>0</v>
      </c>
      <c r="M232" s="311" t="str">
        <f aca="false">VLOOKUP($A232,'Institution Evaluation'!$A$56:$K$346,10,0)&amp;""</f>
        <v/>
      </c>
      <c r="N232" s="311" t="n">
        <f aca="false">IF($J232="Critical Importance",1,IF(AND($J232="",$I232="Critical Importance"),1,0))</f>
        <v>0</v>
      </c>
      <c r="O232" s="283" t="str">
        <f aca="false">IF(OR($F$23="No",$E232="Not Scored",$F232="N/A"),"N/A",IF($J232="",$K232,IF($J232="Minor Importance",5,IF($J232="Standard Importance",10,IF($J232="Critical Importance",20,0)))))</f>
        <v>N/A</v>
      </c>
      <c r="P232" s="283" t="str">
        <f aca="false">IF(OR($O232="N/A",$L232="N/A"),"N/A",$O232*$L232)</f>
        <v>N/A</v>
      </c>
      <c r="Q232" s="283" t="n">
        <f aca="false">IF(M232="TRUE",1,0)</f>
        <v>0</v>
      </c>
      <c r="R232" s="283" t="n">
        <f aca="false">R231+Q232</f>
        <v>0</v>
      </c>
      <c r="S232" s="283" t="n">
        <f aca="false">IF(Q232=0,0,R232)</f>
        <v>0</v>
      </c>
      <c r="T232" s="283" t="n">
        <f aca="false">IF(N232=1,1,0)</f>
        <v>0</v>
      </c>
      <c r="U232" s="283" t="n">
        <f aca="false">U231+T232</f>
        <v>63</v>
      </c>
      <c r="V232" s="283" t="n">
        <f aca="false">IF(T232=0,0,U232)</f>
        <v>0</v>
      </c>
    </row>
    <row r="233" customFormat="false" ht="39.55" hidden="false" customHeight="false" outlineLevel="0" collapsed="false">
      <c r="A233" s="311" t="str">
        <f aca="false">Questions!$A233</f>
        <v>OPEM-06</v>
      </c>
      <c r="B233" s="311" t="str">
        <f aca="false">LEFT(A233,4)</f>
        <v>OPEM</v>
      </c>
      <c r="C233" s="311" t="str">
        <f aca="false">VLOOKUP($A233,Questions!$A$3:$L$333,2,0)&amp;""</f>
        <v>If you maintain remote access to the system, will you handle data in a FERPA-compliant manner?</v>
      </c>
      <c r="D233" s="311" t="str">
        <f aca="false">VLOOKUP($A233,Questions!$A$3:$L$333,11,0)&amp;""</f>
        <v/>
      </c>
      <c r="E233" s="311" t="str">
        <f aca="false">VLOOKUP($A233,Questions!$A$3:$L$333,12,0)&amp;""</f>
        <v>Case-Specific</v>
      </c>
      <c r="F233" s="311" t="str">
        <f aca="false">VLOOKUP($A233,'Institution Evaluation'!$A$56:$K$346,3,0)&amp;""</f>
        <v/>
      </c>
      <c r="G233" s="311" t="str">
        <f aca="false">VLOOKUP($A233,'Institution Evaluation'!$A$56:$K$346,7,0)&amp;""</f>
        <v>Yes</v>
      </c>
      <c r="H233" s="311" t="str">
        <f aca="false">VLOOKUP($A233,'Institution Evaluation'!$A$56:$K$346,8,0)&amp;""</f>
        <v/>
      </c>
      <c r="I233" s="311" t="str">
        <f aca="false">VLOOKUP($A233,'Institution Evaluation'!$A$56:$K$346,9,0)&amp;""</f>
        <v>Standard Importance</v>
      </c>
      <c r="J233" s="311" t="str">
        <f aca="false">VLOOKUP($A233,'Institution Evaluation'!$A$56:$K$346,10,0)&amp;""</f>
        <v/>
      </c>
      <c r="K233" s="311" t="n">
        <f aca="false">IF($I233="Critical Importance",20,IF($I233="Minor Importance",5,10))</f>
        <v>10</v>
      </c>
      <c r="L233" s="283" t="n">
        <f aca="false">IF($E233="Not Scored", "N/A",IF(AND($D233='Auto Responses'!$J$27,$H233=""),"N/A",IF(AND($D233='Auto Responses'!$J$27,$H233='Auto Responses'!$J$7),1,IF(AND($D233='Auto Responses'!$J$27,$H233='Auto Responses'!$J$8),0,IF(OR($F233=$G233,$H233='Auto Responses'!$J$7),1,0)))))</f>
        <v>0</v>
      </c>
      <c r="M233" s="311" t="str">
        <f aca="false">VLOOKUP($A233,'Institution Evaluation'!$A$56:$K$346,10,0)&amp;""</f>
        <v/>
      </c>
      <c r="N233" s="311" t="n">
        <f aca="false">IF($J233="Critical Importance",1,IF(AND($J233="",$I233="Critical Importance"),1,0))</f>
        <v>0</v>
      </c>
      <c r="O233" s="283" t="str">
        <f aca="false">IF(OR($F$23="No",$E233="Not Scored"),"N/A",IF($J233="",$K233,IF($J233="Minor Importance",5,IF($J233="Standard Importance",10,IF($J233="Critical Importance",20,0)))))</f>
        <v>N/A</v>
      </c>
      <c r="P233" s="283" t="str">
        <f aca="false">IF(OR($O233="N/A",$L233="N/A"),"N/A",$O233*$L233)</f>
        <v>N/A</v>
      </c>
      <c r="Q233" s="283" t="n">
        <f aca="false">IF(M233="TRUE",1,0)</f>
        <v>0</v>
      </c>
      <c r="R233" s="283" t="n">
        <f aca="false">R232+Q233</f>
        <v>0</v>
      </c>
      <c r="S233" s="283" t="n">
        <f aca="false">IF(Q233=0,0,R233)</f>
        <v>0</v>
      </c>
      <c r="T233" s="283" t="n">
        <f aca="false">IF(N233=1,1,0)</f>
        <v>0</v>
      </c>
      <c r="U233" s="283" t="n">
        <f aca="false">U232+T233</f>
        <v>63</v>
      </c>
      <c r="V233" s="283" t="n">
        <f aca="false">IF(T233=0,0,U233)</f>
        <v>0</v>
      </c>
    </row>
    <row r="234" customFormat="false" ht="26.85" hidden="false" customHeight="false" outlineLevel="0" collapsed="false">
      <c r="A234" s="311" t="str">
        <f aca="false">Questions!$A234</f>
        <v>OPEM-07</v>
      </c>
      <c r="B234" s="311" t="str">
        <f aca="false">LEFT(A234,4)</f>
        <v>OPEM</v>
      </c>
      <c r="C234" s="311" t="str">
        <f aca="false">VLOOKUP($A234,Questions!$A$3:$L$333,2,0)&amp;""</f>
        <v>Do you support campus status monitoring through SNMPv3 or other means?</v>
      </c>
      <c r="D234" s="311" t="str">
        <f aca="false">VLOOKUP($A234,Questions!$A$3:$L$333,11,0)&amp;""</f>
        <v/>
      </c>
      <c r="E234" s="311" t="str">
        <f aca="false">VLOOKUP($A234,Questions!$A$3:$L$333,12,0)&amp;""</f>
        <v>Case-Specific</v>
      </c>
      <c r="F234" s="311" t="str">
        <f aca="false">VLOOKUP($A234,'Institution Evaluation'!$A$56:$K$346,3,0)&amp;""</f>
        <v/>
      </c>
      <c r="G234" s="311" t="str">
        <f aca="false">VLOOKUP($A234,'Institution Evaluation'!$A$56:$K$346,7,0)&amp;""</f>
        <v>Yes</v>
      </c>
      <c r="H234" s="311" t="str">
        <f aca="false">VLOOKUP($A234,'Institution Evaluation'!$A$56:$K$346,8,0)&amp;""</f>
        <v/>
      </c>
      <c r="I234" s="311" t="str">
        <f aca="false">VLOOKUP($A234,'Institution Evaluation'!$A$56:$K$346,9,0)&amp;""</f>
        <v>Standard Importance</v>
      </c>
      <c r="J234" s="311" t="str">
        <f aca="false">VLOOKUP($A234,'Institution Evaluation'!$A$56:$K$346,10,0)&amp;""</f>
        <v/>
      </c>
      <c r="K234" s="311" t="n">
        <f aca="false">IF($I234="Critical Importance",20,IF($I234="Minor Importance",5,10))</f>
        <v>10</v>
      </c>
      <c r="L234" s="283" t="n">
        <f aca="false">IF($E234="Not Scored", "N/A",IF(AND($D234='Auto Responses'!$J$27,$H234=""),"N/A",IF(AND($D234='Auto Responses'!$J$27,$H234='Auto Responses'!$J$7),1,IF(AND($D234='Auto Responses'!$J$27,$H234='Auto Responses'!$J$8),0,IF(OR($F234=$G234,$H234='Auto Responses'!$J$7),1,0)))))</f>
        <v>0</v>
      </c>
      <c r="M234" s="311" t="str">
        <f aca="false">VLOOKUP($A234,'Institution Evaluation'!$A$56:$K$346,10,0)&amp;""</f>
        <v/>
      </c>
      <c r="N234" s="311" t="n">
        <f aca="false">IF($J234="Critical Importance",1,IF(AND($J234="",$I234="Critical Importance"),1,0))</f>
        <v>0</v>
      </c>
      <c r="O234" s="283" t="str">
        <f aca="false">IF(OR($F$23="No",$E234="Not Scored"),"N/A",IF($J234="",$K234,IF($J234="Minor Importance",5,IF($J234="Standard Importance",10,IF($J234="Critical Importance",20,0)))))</f>
        <v>N/A</v>
      </c>
      <c r="P234" s="283" t="str">
        <f aca="false">IF(OR($O234="N/A",$L234="N/A"),"N/A",$O234*$L234)</f>
        <v>N/A</v>
      </c>
      <c r="Q234" s="283" t="n">
        <f aca="false">IF(M234="TRUE",1,0)</f>
        <v>0</v>
      </c>
      <c r="R234" s="283" t="n">
        <f aca="false">R233+Q234</f>
        <v>0</v>
      </c>
      <c r="S234" s="283" t="n">
        <f aca="false">IF(Q234=0,0,R234)</f>
        <v>0</v>
      </c>
      <c r="T234" s="283" t="n">
        <f aca="false">IF(N234=1,1,0)</f>
        <v>0</v>
      </c>
      <c r="U234" s="283" t="n">
        <f aca="false">U233+T234</f>
        <v>63</v>
      </c>
      <c r="V234" s="283" t="n">
        <f aca="false">IF(T234=0,0,U234)</f>
        <v>0</v>
      </c>
    </row>
    <row r="235" customFormat="false" ht="39.55" hidden="false" customHeight="false" outlineLevel="0" collapsed="false">
      <c r="A235" s="311" t="str">
        <f aca="false">Questions!$A235</f>
        <v>OPEM-08</v>
      </c>
      <c r="B235" s="311" t="str">
        <f aca="false">LEFT(A235,4)</f>
        <v>OPEM</v>
      </c>
      <c r="C235" s="311" t="str">
        <f aca="false">VLOOKUP($A235,Questions!$A$3:$L$333,2,0)&amp;""</f>
        <v>Describe or provide a reference to any other safeguards used to monitor for malicious activity.</v>
      </c>
      <c r="D235" s="311" t="str">
        <f aca="false">VLOOKUP($A235,Questions!$A$3:$L$333,11,0)&amp;""</f>
        <v/>
      </c>
      <c r="E235" s="311" t="str">
        <f aca="false">VLOOKUP($A235,Questions!$A$3:$L$333,12,0)&amp;""</f>
        <v>Not scored</v>
      </c>
      <c r="F235" s="311" t="str">
        <f aca="false">VLOOKUP($A235,'Institution Evaluation'!$A$56:$K$346,3,0)&amp;""</f>
        <v/>
      </c>
      <c r="G235" s="311" t="str">
        <f aca="false">VLOOKUP($A235,'Institution Evaluation'!$A$56:$K$346,7,0)&amp;""</f>
        <v>Not scored</v>
      </c>
      <c r="H235" s="311" t="str">
        <f aca="false">VLOOKUP($A235,'Institution Evaluation'!$A$56:$K$346,8,0)&amp;""</f>
        <v/>
      </c>
      <c r="I235" s="311" t="str">
        <f aca="false">VLOOKUP($A235,'Institution Evaluation'!$A$56:$K$346,9,0)&amp;""</f>
        <v/>
      </c>
      <c r="J235" s="311" t="str">
        <f aca="false">VLOOKUP($A235,'Institution Evaluation'!$A$56:$K$346,10,0)&amp;""</f>
        <v/>
      </c>
      <c r="K235" s="311" t="n">
        <f aca="false">IF($I235="Critical Importance",20,IF($I235="Minor Importance",5,10))</f>
        <v>10</v>
      </c>
      <c r="L235" s="283" t="str">
        <f aca="false">IF($E235="Not Scored", "N/A",IF(AND($D235='Auto Responses'!$J$27,$H235=""),"N/A",IF(AND($D235='Auto Responses'!$J$27,$H235='Auto Responses'!$J$7),1,IF(AND($D235='Auto Responses'!$J$27,$H235='Auto Responses'!$J$8),0,IF(OR($F235=$G235,$H235='Auto Responses'!$J$7),1,0)))))</f>
        <v>N/A</v>
      </c>
      <c r="M235" s="311" t="str">
        <f aca="false">VLOOKUP($A235,'Institution Evaluation'!$A$56:$K$346,10,0)&amp;""</f>
        <v/>
      </c>
      <c r="N235" s="311" t="n">
        <f aca="false">IF($J235="Critical Importance",1,IF(AND($J235="",$I235="Critical Importance"),1,0))</f>
        <v>0</v>
      </c>
      <c r="O235" s="283" t="str">
        <f aca="false">IF(OR($F$23="No",$E235="Not Scored"),"N/A",IF($J235="",$K235,IF($J235="Minor Importance",5,IF($J235="Standard Importance",10,IF($J235="Critical Importance",20,0)))))</f>
        <v>N/A</v>
      </c>
      <c r="P235" s="283" t="str">
        <f aca="false">IF(OR($O235="N/A",$L235="N/A"),"N/A",$O235*$L235)</f>
        <v>N/A</v>
      </c>
      <c r="Q235" s="283" t="n">
        <f aca="false">IF(M235="TRUE",1,0)</f>
        <v>0</v>
      </c>
      <c r="R235" s="283" t="n">
        <f aca="false">R234+Q235</f>
        <v>0</v>
      </c>
      <c r="S235" s="283" t="n">
        <f aca="false">IF(Q235=0,0,R235)</f>
        <v>0</v>
      </c>
      <c r="T235" s="283" t="n">
        <f aca="false">IF(N235=1,1,0)</f>
        <v>0</v>
      </c>
      <c r="U235" s="283" t="n">
        <f aca="false">U234+T235</f>
        <v>63</v>
      </c>
      <c r="V235" s="283" t="n">
        <f aca="false">IF(T235=0,0,U235)</f>
        <v>0</v>
      </c>
    </row>
    <row r="236" customFormat="false" ht="26.85" hidden="false" customHeight="false" outlineLevel="0" collapsed="false">
      <c r="A236" s="311" t="str">
        <f aca="false">Questions!$A236</f>
        <v>OPEM-09</v>
      </c>
      <c r="B236" s="311" t="str">
        <f aca="false">LEFT(A236,4)</f>
        <v>OPEM</v>
      </c>
      <c r="C236" s="311" t="str">
        <f aca="false">VLOOKUP($A236,Questions!$A$3:$L$333,2,0)&amp;""</f>
        <v>Describe how long your organization has conducted business in this area.</v>
      </c>
      <c r="D236" s="311" t="str">
        <f aca="false">VLOOKUP($A236,Questions!$A$3:$L$333,11,0)&amp;""</f>
        <v/>
      </c>
      <c r="E236" s="311" t="str">
        <f aca="false">VLOOKUP($A236,Questions!$A$3:$L$333,12,0)&amp;""</f>
        <v>Not scored</v>
      </c>
      <c r="F236" s="311" t="str">
        <f aca="false">VLOOKUP($A236,'Institution Evaluation'!$A$56:$K$346,3,0)&amp;""</f>
        <v/>
      </c>
      <c r="G236" s="311" t="str">
        <f aca="false">VLOOKUP($A236,'Institution Evaluation'!$A$56:$K$346,7,0)&amp;""</f>
        <v>Not scored</v>
      </c>
      <c r="H236" s="311" t="str">
        <f aca="false">VLOOKUP($A236,'Institution Evaluation'!$A$56:$K$346,8,0)&amp;""</f>
        <v/>
      </c>
      <c r="I236" s="311" t="str">
        <f aca="false">VLOOKUP($A236,'Institution Evaluation'!$A$56:$K$346,9,0)&amp;""</f>
        <v/>
      </c>
      <c r="J236" s="311" t="str">
        <f aca="false">VLOOKUP($A236,'Institution Evaluation'!$A$56:$K$346,10,0)&amp;""</f>
        <v/>
      </c>
      <c r="K236" s="311" t="n">
        <f aca="false">IF($I236="Critical Importance",20,IF($I236="Minor Importance",5,10))</f>
        <v>10</v>
      </c>
      <c r="L236" s="283" t="str">
        <f aca="false">IF($E236="Not Scored", "N/A",IF(AND($D236='Auto Responses'!$J$27,$H236=""),"N/A",IF(AND($D236='Auto Responses'!$J$27,$H236='Auto Responses'!$J$7),1,IF(AND($D236='Auto Responses'!$J$27,$H236='Auto Responses'!$J$8),0,IF(OR($F236=$G236,$H236='Auto Responses'!$J$7),1,0)))))</f>
        <v>N/A</v>
      </c>
      <c r="M236" s="311" t="str">
        <f aca="false">VLOOKUP($A236,'Institution Evaluation'!$A$56:$K$346,10,0)&amp;""</f>
        <v/>
      </c>
      <c r="N236" s="311" t="n">
        <f aca="false">IF($J236="Critical Importance",1,IF(AND($J236="",$I236="Critical Importance"),1,0))</f>
        <v>0</v>
      </c>
      <c r="O236" s="283" t="str">
        <f aca="false">IF(OR($F$23="No",$E236="Not Scored"),"N/A",IF($J236="",$K236,IF($J236="Minor Importance",5,IF($J236="Standard Importance",10,IF($J236="Critical Importance",20,0)))))</f>
        <v>N/A</v>
      </c>
      <c r="P236" s="283" t="str">
        <f aca="false">IF(OR($O236="N/A",$L236="N/A"),"N/A",$O236*$L236)</f>
        <v>N/A</v>
      </c>
      <c r="Q236" s="283" t="n">
        <f aca="false">IF(M236="TRUE",1,0)</f>
        <v>0</v>
      </c>
      <c r="R236" s="283" t="n">
        <f aca="false">R235+Q236</f>
        <v>0</v>
      </c>
      <c r="S236" s="283" t="n">
        <f aca="false">IF(Q236=0,0,R236)</f>
        <v>0</v>
      </c>
      <c r="T236" s="283" t="n">
        <f aca="false">IF(N236=1,1,0)</f>
        <v>0</v>
      </c>
      <c r="U236" s="283" t="n">
        <f aca="false">U235+T236</f>
        <v>63</v>
      </c>
      <c r="V236" s="283" t="n">
        <f aca="false">IF(T236=0,0,U236)</f>
        <v>0</v>
      </c>
    </row>
    <row r="237" customFormat="false" ht="26.85" hidden="false" customHeight="false" outlineLevel="0" collapsed="false">
      <c r="A237" s="311" t="str">
        <f aca="false">Questions!$A237</f>
        <v>OPEM-10</v>
      </c>
      <c r="B237" s="311" t="str">
        <f aca="false">LEFT(A237,4)</f>
        <v>OPEM</v>
      </c>
      <c r="C237" s="311" t="str">
        <f aca="false">VLOOKUP($A237,Questions!$A$3:$L$333,2,0)&amp;""</f>
        <v>Do you have existing higher education customers?</v>
      </c>
      <c r="D237" s="311" t="str">
        <f aca="false">VLOOKUP($A237,Questions!$A$3:$L$333,11,0)&amp;""</f>
        <v/>
      </c>
      <c r="E237" s="311" t="str">
        <f aca="false">VLOOKUP($A237,Questions!$A$3:$L$333,12,0)&amp;""</f>
        <v>Case-Specific</v>
      </c>
      <c r="F237" s="311" t="str">
        <f aca="false">VLOOKUP($A237,'Institution Evaluation'!$A$56:$K$346,3,0)&amp;""</f>
        <v/>
      </c>
      <c r="G237" s="311" t="str">
        <f aca="false">VLOOKUP($A237,'Institution Evaluation'!$A$56:$K$346,7,0)&amp;""</f>
        <v>Yes</v>
      </c>
      <c r="H237" s="311" t="str">
        <f aca="false">VLOOKUP($A237,'Institution Evaluation'!$A$56:$K$346,8,0)&amp;""</f>
        <v/>
      </c>
      <c r="I237" s="311" t="str">
        <f aca="false">VLOOKUP($A237,'Institution Evaluation'!$A$56:$K$346,9,0)&amp;""</f>
        <v>Minor Importance</v>
      </c>
      <c r="J237" s="311" t="str">
        <f aca="false">VLOOKUP($A237,'Institution Evaluation'!$A$56:$K$346,10,0)&amp;""</f>
        <v/>
      </c>
      <c r="K237" s="311" t="n">
        <f aca="false">IF($I237="Critical Importance",20,IF($I237="Minor Importance",5,10))</f>
        <v>5</v>
      </c>
      <c r="L237" s="283" t="n">
        <f aca="false">IF($E237="Not Scored", "N/A",IF(AND($D237='Auto Responses'!$J$27,$H237=""),"N/A",IF(AND($D237='Auto Responses'!$J$27,$H237='Auto Responses'!$J$7),1,IF(AND($D237='Auto Responses'!$J$27,$H237='Auto Responses'!$J$8),0,IF(OR($F237=$G237,$H237='Auto Responses'!$J$7),1,0)))))</f>
        <v>0</v>
      </c>
      <c r="M237" s="311" t="str">
        <f aca="false">VLOOKUP($A237,'Institution Evaluation'!$A$56:$K$346,10,0)&amp;""</f>
        <v/>
      </c>
      <c r="N237" s="311" t="n">
        <f aca="false">IF($J237="Critical Importance",1,IF(AND($J237="",$I237="Critical Importance"),1,0))</f>
        <v>0</v>
      </c>
      <c r="O237" s="283" t="str">
        <f aca="false">IF(OR($F$23="No",$E237="Not Scored"),"N/A",IF($J237="",$K237,IF($J237="Minor Importance",5,IF($J237="Standard Importance",10,IF($J237="Critical Importance",20,0)))))</f>
        <v>N/A</v>
      </c>
      <c r="P237" s="283" t="str">
        <f aca="false">IF(OR($O237="N/A",$L237="N/A"),"N/A",$O237*$L237)</f>
        <v>N/A</v>
      </c>
      <c r="Q237" s="283" t="n">
        <f aca="false">IF(M237="TRUE",1,0)</f>
        <v>0</v>
      </c>
      <c r="R237" s="283" t="n">
        <f aca="false">R236+Q237</f>
        <v>0</v>
      </c>
      <c r="S237" s="283" t="n">
        <f aca="false">IF(Q237=0,0,R237)</f>
        <v>0</v>
      </c>
      <c r="T237" s="283" t="n">
        <f aca="false">IF(N237=1,1,0)</f>
        <v>0</v>
      </c>
      <c r="U237" s="283" t="n">
        <f aca="false">U236+T237</f>
        <v>63</v>
      </c>
      <c r="V237" s="283" t="n">
        <f aca="false">IF(T237=0,0,U237)</f>
        <v>0</v>
      </c>
    </row>
    <row r="238" customFormat="false" ht="26.85" hidden="false" customHeight="false" outlineLevel="0" collapsed="false">
      <c r="A238" s="311" t="str">
        <f aca="false">Questions!$A238</f>
        <v>PRGN-01</v>
      </c>
      <c r="B238" s="311" t="str">
        <f aca="false">LEFT(A238,4)</f>
        <v>PRGN</v>
      </c>
      <c r="C238" s="311" t="str">
        <f aca="false">VLOOKUP($A238,Questions!$A$3:$L$333,2,0)&amp;""</f>
        <v>Does your solution process FERPA-related data?</v>
      </c>
      <c r="D238" s="311" t="str">
        <f aca="false">VLOOKUP($A238,Questions!$A$3:$L$333,11,0)&amp;""</f>
        <v>NA</v>
      </c>
      <c r="E238" s="311" t="str">
        <f aca="false">VLOOKUP($A238,Questions!$A$3:$L$333,12,0)&amp;""</f>
        <v>Not scored</v>
      </c>
      <c r="F238" s="311" t="str">
        <f aca="false">VLOOKUP($A238,'Privacy Analyst Evaluation'!$A$46:$K$120,3,0)&amp;""</f>
        <v>No</v>
      </c>
      <c r="G238" s="311" t="str">
        <f aca="false">VLOOKUP($A238,'Privacy Analyst Evaluation'!$A$46:$K$120,7,0)&amp;""</f>
        <v/>
      </c>
      <c r="H238" s="311" t="str">
        <f aca="false">VLOOKUP($A238,'Privacy Analyst Evaluation'!$A$46:$K$120,8,0)&amp;""</f>
        <v/>
      </c>
      <c r="I238" s="311" t="str">
        <f aca="false">VLOOKUP($A238,'Privacy Analyst Evaluation'!$A$46:$K$120,9,0)&amp;""</f>
        <v/>
      </c>
      <c r="J238" s="311" t="str">
        <f aca="false">VLOOKUP($A238,'Privacy Analyst Evaluation'!$A$46:$K$120,10,0)&amp;""</f>
        <v/>
      </c>
      <c r="K238" s="311" t="n">
        <f aca="false">IF($I238="Critical Importance",20,IF($I238="Minor Importance",5,10))</f>
        <v>10</v>
      </c>
      <c r="L238" s="283" t="str">
        <f aca="false">IF($E238="Not Scored", "N/A",IF(AND($D238='Auto Responses'!$J$27,$H238=""),"N/A",IF(AND($D238='Auto Responses'!$J$27,$H238='Auto Responses'!$J$7),1,IF(AND($D238='Auto Responses'!$J$27,$H238='Auto Responses'!$J$8),0,IF(OR($F238=$G238,$H238='Auto Responses'!$J$7),1,0)))))</f>
        <v>N/A</v>
      </c>
      <c r="M238" s="311" t="str">
        <f aca="false">VLOOKUP($A238,'Privacy Analyst Evaluation'!$A$46:$K$120,10,0)&amp;""</f>
        <v/>
      </c>
      <c r="N238" s="311" t="n">
        <f aca="false">IF($J238="Critical Importance",1,IF(AND($J238="",$I238="Critical Importance"),1,0))</f>
        <v>0</v>
      </c>
      <c r="O238" s="283" t="str">
        <f aca="false">IF(OR($E238="Not Scored",$F$24="No"),"N/A",IF($J238="",$K238,IF($J238="Minor Importance",5,IF($J238="Standard Importance",10,IF($J238="Critical Importance",20,0)))))</f>
        <v>N/A</v>
      </c>
      <c r="P238" s="283" t="str">
        <f aca="false">IF(OR($O238="N/A",$L238="N/A"),"N/A",$O238*$L238)</f>
        <v>N/A</v>
      </c>
      <c r="Q238" s="283" t="n">
        <f aca="false">IF(M238="TRUE",1,0)</f>
        <v>0</v>
      </c>
      <c r="R238" s="283" t="n">
        <f aca="false">R237+Q238</f>
        <v>0</v>
      </c>
      <c r="S238" s="283" t="n">
        <f aca="false">IF(Q238=0,0,R238)</f>
        <v>0</v>
      </c>
      <c r="T238" s="283" t="n">
        <f aca="false">IF(N238=1,1,0)</f>
        <v>0</v>
      </c>
      <c r="U238" s="283" t="n">
        <f aca="false">U237+T238</f>
        <v>63</v>
      </c>
      <c r="V238" s="283" t="n">
        <f aca="false">IF(T238=0,0,U238)</f>
        <v>0</v>
      </c>
    </row>
    <row r="239" customFormat="false" ht="26.85" hidden="false" customHeight="false" outlineLevel="0" collapsed="false">
      <c r="A239" s="311" t="str">
        <f aca="false">Questions!$A239</f>
        <v>PRGN-02</v>
      </c>
      <c r="B239" s="311" t="str">
        <f aca="false">LEFT(A239,4)</f>
        <v>PRGN</v>
      </c>
      <c r="C239" s="311" t="str">
        <f aca="false">VLOOKUP($A239,Questions!$A$3:$L$333,2,0)&amp;""</f>
        <v>Does your solution process GDPR-related or PIPL-related data?</v>
      </c>
      <c r="D239" s="311" t="str">
        <f aca="false">VLOOKUP($A239,Questions!$A$3:$L$333,11,0)&amp;""</f>
        <v>NA</v>
      </c>
      <c r="E239" s="311" t="str">
        <f aca="false">VLOOKUP($A239,Questions!$A$3:$L$333,12,0)&amp;""</f>
        <v>Not scored</v>
      </c>
      <c r="F239" s="311" t="str">
        <f aca="false">VLOOKUP($A239,'Privacy Analyst Evaluation'!$A$46:$K$120,3,0)&amp;""</f>
        <v>No</v>
      </c>
      <c r="G239" s="311" t="str">
        <f aca="false">VLOOKUP($A239,'Privacy Analyst Evaluation'!$A$46:$K$120,7,0)&amp;""</f>
        <v/>
      </c>
      <c r="H239" s="311" t="str">
        <f aca="false">VLOOKUP($A239,'Privacy Analyst Evaluation'!$A$46:$K$120,8,0)&amp;""</f>
        <v/>
      </c>
      <c r="I239" s="311" t="str">
        <f aca="false">VLOOKUP($A239,'Privacy Analyst Evaluation'!$A$46:$K$120,9,0)&amp;""</f>
        <v/>
      </c>
      <c r="J239" s="311" t="str">
        <f aca="false">VLOOKUP($A239,'Privacy Analyst Evaluation'!$A$46:$K$120,10,0)&amp;""</f>
        <v/>
      </c>
      <c r="K239" s="311" t="n">
        <f aca="false">IF($I239="Critical Importance",20,IF($I239="Minor Importance",5,10))</f>
        <v>10</v>
      </c>
      <c r="L239" s="283" t="str">
        <f aca="false">IF($E239="Not Scored", "N/A",IF(AND($D239='Auto Responses'!$J$27,$H239=""),"N/A",IF(AND($D239='Auto Responses'!$J$27,$H239='Auto Responses'!$J$7),1,IF(AND($D239='Auto Responses'!$J$27,$H239='Auto Responses'!$J$8),0,IF(OR($F239=$G239,$H239='Auto Responses'!$J$7),1,0)))))</f>
        <v>N/A</v>
      </c>
      <c r="M239" s="311" t="str">
        <f aca="false">VLOOKUP($A239,'Privacy Analyst Evaluation'!$A$46:$K$120,10,0)&amp;""</f>
        <v/>
      </c>
      <c r="N239" s="311" t="n">
        <f aca="false">IF($J239="Critical Importance",1,IF(AND($J239="",$I239="Critical Importance"),1,0))</f>
        <v>0</v>
      </c>
      <c r="O239" s="283" t="str">
        <f aca="false">IF(OR($E239="Not Scored",$F$24="No"),"N/A",IF($J239="",$K239,IF($J239="Minor Importance",5,IF($J239="Standard Importance",10,IF($J239="Critical Importance",20,0)))))</f>
        <v>N/A</v>
      </c>
      <c r="P239" s="283" t="str">
        <f aca="false">IF(OR($O239="N/A",$L239="N/A"),"N/A",$O239*$L239)</f>
        <v>N/A</v>
      </c>
      <c r="Q239" s="283" t="n">
        <f aca="false">IF(M239="TRUE",1,0)</f>
        <v>0</v>
      </c>
      <c r="R239" s="283" t="n">
        <f aca="false">R238+Q239</f>
        <v>0</v>
      </c>
      <c r="S239" s="283" t="n">
        <f aca="false">IF(Q239=0,0,R239)</f>
        <v>0</v>
      </c>
      <c r="T239" s="283" t="n">
        <f aca="false">IF(N239=1,1,0)</f>
        <v>0</v>
      </c>
      <c r="U239" s="283" t="n">
        <f aca="false">U238+T239</f>
        <v>63</v>
      </c>
      <c r="V239" s="283" t="n">
        <f aca="false">IF(T239=0,0,U239)</f>
        <v>0</v>
      </c>
    </row>
    <row r="240" customFormat="false" ht="26.85" hidden="false" customHeight="false" outlineLevel="0" collapsed="false">
      <c r="A240" s="311" t="str">
        <f aca="false">Questions!$A240</f>
        <v>PRGN-03</v>
      </c>
      <c r="B240" s="311" t="str">
        <f aca="false">LEFT(A240,4)</f>
        <v>PRGN</v>
      </c>
      <c r="C240" s="311" t="str">
        <f aca="false">VLOOKUP($A240,Questions!$A$3:$L$333,2,0)&amp;""</f>
        <v>Does your solution process personal data regulated by state law(s) (e.g., CCPA)?</v>
      </c>
      <c r="D240" s="311" t="str">
        <f aca="false">VLOOKUP($A240,Questions!$A$3:$L$333,11,0)&amp;""</f>
        <v>NA</v>
      </c>
      <c r="E240" s="311" t="str">
        <f aca="false">VLOOKUP($A240,Questions!$A$3:$L$333,12,0)&amp;""</f>
        <v>Not scored</v>
      </c>
      <c r="F240" s="311" t="str">
        <f aca="false">VLOOKUP($A240,'Privacy Analyst Evaluation'!$A$46:$K$120,3,0)&amp;""</f>
        <v>No</v>
      </c>
      <c r="G240" s="311" t="str">
        <f aca="false">VLOOKUP($A240,'Privacy Analyst Evaluation'!$A$46:$K$120,7,0)&amp;""</f>
        <v/>
      </c>
      <c r="H240" s="311" t="str">
        <f aca="false">VLOOKUP($A240,'Privacy Analyst Evaluation'!$A$46:$K$120,8,0)&amp;""</f>
        <v/>
      </c>
      <c r="I240" s="311" t="str">
        <f aca="false">VLOOKUP($A240,'Privacy Analyst Evaluation'!$A$46:$K$120,9,0)&amp;""</f>
        <v/>
      </c>
      <c r="J240" s="311" t="str">
        <f aca="false">VLOOKUP($A240,'Privacy Analyst Evaluation'!$A$46:$K$120,10,0)&amp;""</f>
        <v/>
      </c>
      <c r="K240" s="311" t="n">
        <f aca="false">IF($I240="Critical Importance",20,IF($I240="Minor Importance",5,10))</f>
        <v>10</v>
      </c>
      <c r="L240" s="283" t="str">
        <f aca="false">IF($E240="Not Scored", "N/A",IF(AND($D240='Auto Responses'!$J$27,$H240=""),"N/A",IF(AND($D240='Auto Responses'!$J$27,$H240='Auto Responses'!$J$7),1,IF(AND($D240='Auto Responses'!$J$27,$H240='Auto Responses'!$J$8),0,IF(OR($F240=$G240,$H240='Auto Responses'!$J$7),1,0)))))</f>
        <v>N/A</v>
      </c>
      <c r="M240" s="311" t="str">
        <f aca="false">VLOOKUP($A240,'Privacy Analyst Evaluation'!$A$46:$K$120,10,0)&amp;""</f>
        <v/>
      </c>
      <c r="N240" s="311" t="n">
        <f aca="false">IF($J240="Critical Importance",1,IF(AND($J240="",$I240="Critical Importance"),1,0))</f>
        <v>0</v>
      </c>
      <c r="O240" s="283" t="str">
        <f aca="false">IF(OR($E240="Not Scored",$F$24="No"),"N/A",IF($J240="",$K240,IF($J240="Minor Importance",5,IF($J240="Standard Importance",10,IF($J240="Critical Importance",20,0)))))</f>
        <v>N/A</v>
      </c>
      <c r="P240" s="283" t="str">
        <f aca="false">IF(OR($O240="N/A",$L240="N/A"),"N/A",$O240*$L240)</f>
        <v>N/A</v>
      </c>
      <c r="Q240" s="283" t="n">
        <f aca="false">IF(M240="TRUE",1,0)</f>
        <v>0</v>
      </c>
      <c r="R240" s="283" t="n">
        <f aca="false">R239+Q240</f>
        <v>0</v>
      </c>
      <c r="S240" s="283" t="n">
        <f aca="false">IF(Q240=0,0,R240)</f>
        <v>0</v>
      </c>
      <c r="T240" s="283" t="n">
        <f aca="false">IF(N240=1,1,0)</f>
        <v>0</v>
      </c>
      <c r="U240" s="283" t="n">
        <f aca="false">U239+T240</f>
        <v>63</v>
      </c>
      <c r="V240" s="283" t="n">
        <f aca="false">IF(T240=0,0,U240)</f>
        <v>0</v>
      </c>
    </row>
    <row r="241" customFormat="false" ht="26.85" hidden="false" customHeight="false" outlineLevel="0" collapsed="false">
      <c r="A241" s="311" t="str">
        <f aca="false">Questions!$A241</f>
        <v>PRGN-04</v>
      </c>
      <c r="B241" s="311" t="str">
        <f aca="false">LEFT(A241,4)</f>
        <v>PRGN</v>
      </c>
      <c r="C241" s="311" t="str">
        <f aca="false">VLOOKUP($A241,Questions!$A$3:$L$333,2,0)&amp;""</f>
        <v>Does your solution process user-provided data that may contain regulated information?</v>
      </c>
      <c r="D241" s="311" t="str">
        <f aca="false">VLOOKUP($A241,Questions!$A$3:$L$333,11,0)&amp;""</f>
        <v>NA</v>
      </c>
      <c r="E241" s="311" t="str">
        <f aca="false">VLOOKUP($A241,Questions!$A$3:$L$333,12,0)&amp;""</f>
        <v>Not scored</v>
      </c>
      <c r="F241" s="311" t="str">
        <f aca="false">VLOOKUP($A241,'Privacy Analyst Evaluation'!$A$46:$K$120,3,0)&amp;""</f>
        <v>no</v>
      </c>
      <c r="G241" s="311" t="str">
        <f aca="false">VLOOKUP($A241,'Privacy Analyst Evaluation'!$A$46:$K$120,7,0)&amp;""</f>
        <v/>
      </c>
      <c r="H241" s="311" t="str">
        <f aca="false">VLOOKUP($A241,'Privacy Analyst Evaluation'!$A$46:$K$120,8,0)&amp;""</f>
        <v/>
      </c>
      <c r="I241" s="311" t="str">
        <f aca="false">VLOOKUP($A241,'Privacy Analyst Evaluation'!$A$46:$K$120,9,0)&amp;""</f>
        <v/>
      </c>
      <c r="J241" s="311" t="str">
        <f aca="false">VLOOKUP($A241,'Privacy Analyst Evaluation'!$A$46:$K$120,10,0)&amp;""</f>
        <v/>
      </c>
      <c r="K241" s="311" t="n">
        <f aca="false">IF($I241="Critical Importance",20,IF($I241="Minor Importance",5,10))</f>
        <v>10</v>
      </c>
      <c r="L241" s="283" t="str">
        <f aca="false">IF($E241="Not Scored", "N/A",IF(AND($D241='Auto Responses'!$J$27,$H241=""),"N/A",IF(AND($D241='Auto Responses'!$J$27,$H241='Auto Responses'!$J$7),1,IF(AND($D241='Auto Responses'!$J$27,$H241='Auto Responses'!$J$8),0,IF(OR($F241=$G241,$H241='Auto Responses'!$J$7),1,0)))))</f>
        <v>N/A</v>
      </c>
      <c r="M241" s="311" t="str">
        <f aca="false">VLOOKUP($A241,'Privacy Analyst Evaluation'!$A$46:$K$120,10,0)&amp;""</f>
        <v/>
      </c>
      <c r="N241" s="311" t="n">
        <f aca="false">IF($J241="Critical Importance",1,IF(AND($J241="",$I241="Critical Importance"),1,0))</f>
        <v>0</v>
      </c>
      <c r="O241" s="283" t="str">
        <f aca="false">IF(OR($E241="Not Scored",$F$24="No"),"N/A",IF($J241="",$K241,IF($J241="Minor Importance",5,IF($J241="Standard Importance",10,IF($J241="Critical Importance",20,0)))))</f>
        <v>N/A</v>
      </c>
      <c r="P241" s="283" t="str">
        <f aca="false">IF(OR($O241="N/A",$L241="N/A"),"N/A",$O241*$L241)</f>
        <v>N/A</v>
      </c>
      <c r="Q241" s="283" t="n">
        <f aca="false">IF(M241="TRUE",1,0)</f>
        <v>0</v>
      </c>
      <c r="R241" s="283" t="n">
        <f aca="false">R240+Q241</f>
        <v>0</v>
      </c>
      <c r="S241" s="283" t="n">
        <f aca="false">IF(Q241=0,0,R241)</f>
        <v>0</v>
      </c>
      <c r="T241" s="283" t="n">
        <f aca="false">IF(N241=1,1,0)</f>
        <v>0</v>
      </c>
      <c r="U241" s="283" t="n">
        <f aca="false">U240+T241</f>
        <v>63</v>
      </c>
      <c r="V241" s="283" t="n">
        <f aca="false">IF(T241=0,0,U241)</f>
        <v>0</v>
      </c>
    </row>
    <row r="242" customFormat="false" ht="26.85" hidden="false" customHeight="false" outlineLevel="0" collapsed="false">
      <c r="A242" s="311" t="str">
        <f aca="false">Questions!$A242</f>
        <v>PRGN-05</v>
      </c>
      <c r="B242" s="311" t="str">
        <f aca="false">LEFT(A242,4)</f>
        <v>PRGN</v>
      </c>
      <c r="C242" s="311" t="str">
        <f aca="false">VLOOKUP($A242,Questions!$A$3:$L$333,2,0)&amp;""</f>
        <v>Web Link to Product/Service Privacy Notice</v>
      </c>
      <c r="D242" s="311" t="str">
        <f aca="false">VLOOKUP($A242,Questions!$A$3:$L$333,11,0)&amp;""</f>
        <v>Neutral until evaluated</v>
      </c>
      <c r="E242" s="311" t="str">
        <f aca="false">VLOOKUP($A242,Questions!$A$3:$L$333,12,0)&amp;""</f>
        <v>Privacy</v>
      </c>
      <c r="F242" s="311" t="str">
        <f aca="false">VLOOKUP($A242,'Privacy Analyst Evaluation'!$A$46:$K$120,3,0)&amp;""</f>
        <v>NA</v>
      </c>
      <c r="G242" s="311" t="str">
        <f aca="false">VLOOKUP($A242,'Privacy Analyst Evaluation'!$A$46:$K$120,7,0)&amp;""</f>
        <v>Not scored</v>
      </c>
      <c r="H242" s="311" t="str">
        <f aca="false">VLOOKUP($A242,'Privacy Analyst Evaluation'!$A$46:$K$120,8,0)&amp;""</f>
        <v/>
      </c>
      <c r="I242" s="311" t="str">
        <f aca="false">VLOOKUP($A242,'Privacy Analyst Evaluation'!$A$46:$K$120,9,0)&amp;""</f>
        <v/>
      </c>
      <c r="J242" s="311" t="str">
        <f aca="false">VLOOKUP($A242,'Privacy Analyst Evaluation'!$A$46:$K$120,10,0)&amp;""</f>
        <v/>
      </c>
      <c r="K242" s="311" t="n">
        <f aca="false">IF($I242="Critical Importance",20,IF($I242="Minor Importance",5,10))</f>
        <v>10</v>
      </c>
      <c r="L242" s="283" t="str">
        <f aca="false">IF($E242="Not Scored", "N/A",IF(AND($D242='Auto Responses'!$J$27,$H242=""),"N/A",IF(AND($D242='Auto Responses'!$J$27,$H242='Auto Responses'!$J$7),1,IF(AND($D242='Auto Responses'!$J$27,$H242='Auto Responses'!$J$8),0,IF(OR($F242=$G242,$H242='Auto Responses'!$J$7),1,0)))))</f>
        <v>N/A</v>
      </c>
      <c r="M242" s="311" t="str">
        <f aca="false">VLOOKUP($A242,'Privacy Analyst Evaluation'!$A$46:$K$120,10,0)&amp;""</f>
        <v/>
      </c>
      <c r="N242" s="311" t="n">
        <f aca="false">IF($J242="Critical Importance",1,IF(AND($J242="",$I242="Critical Importance"),1,0))</f>
        <v>0</v>
      </c>
      <c r="O242" s="283" t="str">
        <f aca="false">IF(OR($E242="Not Scored",$F$24="No"),"N/A",IF($J242="",$K242,IF($J242="Minor Importance",5,IF($J242="Standard Importance",10,IF($J242="Critical Importance",20,0)))))</f>
        <v>N/A</v>
      </c>
      <c r="P242" s="283" t="str">
        <f aca="false">IF(OR($O242="N/A",$L242="N/A"),"N/A",$O242*$L242)</f>
        <v>N/A</v>
      </c>
      <c r="Q242" s="283" t="n">
        <f aca="false">IF(M242="TRUE",1,0)</f>
        <v>0</v>
      </c>
      <c r="R242" s="283" t="n">
        <f aca="false">R241+Q242</f>
        <v>0</v>
      </c>
      <c r="S242" s="283" t="n">
        <f aca="false">IF(Q242=0,0,R242)</f>
        <v>0</v>
      </c>
      <c r="T242" s="283" t="n">
        <f aca="false">IF(N242=1,1,0)</f>
        <v>0</v>
      </c>
      <c r="U242" s="283" t="n">
        <f aca="false">U241+T242</f>
        <v>63</v>
      </c>
      <c r="V242" s="283" t="n">
        <f aca="false">IF(T242=0,0,U242)</f>
        <v>0</v>
      </c>
    </row>
    <row r="243" customFormat="false" ht="64.9" hidden="false" customHeight="false" outlineLevel="0" collapsed="false">
      <c r="A243" s="311" t="str">
        <f aca="false">Questions!$A243</f>
        <v>PCOM-01</v>
      </c>
      <c r="B243" s="311" t="str">
        <f aca="false">LEFT(A243,4)</f>
        <v>PCOM</v>
      </c>
      <c r="C243" s="311" t="str">
        <f aca="false">VLOOKUP($A243,Questions!$A$3:$L$333,2,0)&amp;""</f>
        <v>Have you had a personal data breach in the past three years that involved reporting to a governmental agency, notice to individuals (including voluntary notice), or notice to another organization or institution?*</v>
      </c>
      <c r="D243" s="311" t="str">
        <f aca="false">VLOOKUP($A243,Questions!$A$3:$L$333,11,0)&amp;""</f>
        <v/>
      </c>
      <c r="E243" s="311" t="str">
        <f aca="false">VLOOKUP($A243,Questions!$A$3:$L$333,12,0)&amp;""</f>
        <v>Privacy</v>
      </c>
      <c r="F243" s="311" t="str">
        <f aca="false">VLOOKUP($A243,'Privacy Analyst Evaluation'!$A$46:$K$120,3,0)&amp;""</f>
        <v>no</v>
      </c>
      <c r="G243" s="311" t="str">
        <f aca="false">VLOOKUP($A243,'Privacy Analyst Evaluation'!$A$46:$K$120,7,0)&amp;""</f>
        <v>No</v>
      </c>
      <c r="H243" s="311" t="str">
        <f aca="false">VLOOKUP($A243,'Privacy Analyst Evaluation'!$A$46:$K$120,8,0)&amp;""</f>
        <v/>
      </c>
      <c r="I243" s="311" t="str">
        <f aca="false">VLOOKUP($A243,'Privacy Analyst Evaluation'!$A$46:$K$120,9,0)&amp;""</f>
        <v>Critical Importance</v>
      </c>
      <c r="J243" s="311" t="str">
        <f aca="false">VLOOKUP($A243,'Privacy Analyst Evaluation'!$A$46:$K$120,10,0)&amp;""</f>
        <v/>
      </c>
      <c r="K243" s="311" t="n">
        <f aca="false">IF($I243="Critical Importance",20,IF($I243="Minor Importance",5,10))</f>
        <v>20</v>
      </c>
      <c r="L243" s="283" t="n">
        <f aca="false">IF($E243="Not Scored", "N/A",IF(AND($D243='Auto Responses'!$J$27,$H243=""),"N/A",IF(AND($D243='Auto Responses'!$J$27,$H243='Auto Responses'!$J$7),1,IF(AND($D243='Auto Responses'!$J$27,$H243='Auto Responses'!$J$8),0,IF(OR($F243=$G243,$H243='Auto Responses'!$J$7),1,0)))))</f>
        <v>1</v>
      </c>
      <c r="M243" s="311" t="str">
        <f aca="false">VLOOKUP($A243,'Privacy Analyst Evaluation'!$A$46:$K$120,10,0)&amp;""</f>
        <v/>
      </c>
      <c r="N243" s="311" t="n">
        <f aca="false">IF($J243="Critical Importance",1,IF(AND($J243="",$I243="Critical Importance"),1,0))</f>
        <v>1</v>
      </c>
      <c r="O243" s="283" t="str">
        <f aca="false">IF(OR($E243="Not Scored",$F$24="No"),"N/A",IF($J243="",$K243,IF($J243="Minor Importance",5,IF($J243="Standard Importance",10,IF($J243="Critical Importance",20,0)))))</f>
        <v>N/A</v>
      </c>
      <c r="P243" s="283" t="str">
        <f aca="false">IF(OR($O243="N/A",$L243="N/A"),"N/A",$O243*$L243)</f>
        <v>N/A</v>
      </c>
      <c r="Q243" s="283" t="n">
        <f aca="false">IF(M243="TRUE",1,0)</f>
        <v>0</v>
      </c>
      <c r="R243" s="283" t="n">
        <f aca="false">R242+Q243</f>
        <v>0</v>
      </c>
      <c r="S243" s="283" t="n">
        <f aca="false">IF(Q243=0,0,R243)</f>
        <v>0</v>
      </c>
      <c r="T243" s="283" t="n">
        <f aca="false">IF(N243=1,1,0)</f>
        <v>1</v>
      </c>
      <c r="U243" s="283" t="n">
        <f aca="false">U242+T243</f>
        <v>64</v>
      </c>
      <c r="V243" s="283" t="n">
        <f aca="false">IF(T243=0,0,U243)</f>
        <v>64</v>
      </c>
    </row>
    <row r="244" customFormat="false" ht="52.2" hidden="false" customHeight="false" outlineLevel="0" collapsed="false">
      <c r="A244" s="311" t="str">
        <f aca="false">Questions!$A244</f>
        <v>PCOM-02</v>
      </c>
      <c r="B244" s="311" t="str">
        <f aca="false">LEFT(A244,4)</f>
        <v>PCOM</v>
      </c>
      <c r="C244" s="311" t="str">
        <f aca="false">VLOOKUP($A244,Questions!$A$3:$L$333,2,0)&amp;""</f>
        <v>Use this area to share information about your privacy practices that will assist those who are assessing your company data privacy program.*</v>
      </c>
      <c r="D244" s="311" t="str">
        <f aca="false">VLOOKUP($A244,Questions!$A$3:$L$333,11,0)&amp;""</f>
        <v>Neutral until evaluated</v>
      </c>
      <c r="E244" s="311" t="str">
        <f aca="false">VLOOKUP($A244,Questions!$A$3:$L$333,12,0)&amp;""</f>
        <v>Privacy</v>
      </c>
      <c r="F244" s="311" t="str">
        <f aca="false">VLOOKUP($A244,'Privacy Analyst Evaluation'!$A$46:$K$120,3,0)&amp;""</f>
        <v>QGIS does not store any data related to privacy. We even exclude collecting any telemetry to respect private life</v>
      </c>
      <c r="G244" s="311" t="str">
        <f aca="false">VLOOKUP($A244,'Privacy Analyst Evaluation'!$A$46:$K$120,7,0)&amp;""</f>
        <v>Not scored</v>
      </c>
      <c r="H244" s="311" t="str">
        <f aca="false">VLOOKUP($A244,'Privacy Analyst Evaluation'!$A$46:$K$120,8,0)&amp;""</f>
        <v/>
      </c>
      <c r="I244" s="311" t="str">
        <f aca="false">VLOOKUP($A244,'Privacy Analyst Evaluation'!$A$46:$K$120,9,0)&amp;""</f>
        <v/>
      </c>
      <c r="J244" s="311" t="str">
        <f aca="false">VLOOKUP($A244,'Privacy Analyst Evaluation'!$A$46:$K$120,10,0)&amp;""</f>
        <v/>
      </c>
      <c r="K244" s="311" t="n">
        <f aca="false">IF($I244="Critical Importance",20,IF($I244="Minor Importance",5,10))</f>
        <v>10</v>
      </c>
      <c r="L244" s="283" t="str">
        <f aca="false">IF($E244="Not Scored", "N/A",IF(AND($D244='Auto Responses'!$J$27,$H244=""),"N/A",IF(AND($D244='Auto Responses'!$J$27,$H244='Auto Responses'!$J$7),1,IF(AND($D244='Auto Responses'!$J$27,$H244='Auto Responses'!$J$8),0,IF(OR($F244=$G244,$H244='Auto Responses'!$J$7),1,0)))))</f>
        <v>N/A</v>
      </c>
      <c r="M244" s="311" t="str">
        <f aca="false">VLOOKUP($A244,'Privacy Analyst Evaluation'!$A$46:$K$120,10,0)&amp;""</f>
        <v/>
      </c>
      <c r="N244" s="311" t="n">
        <f aca="false">IF($J244="Critical Importance",1,IF(AND($J244="",$I244="Critical Importance"),1,0))</f>
        <v>0</v>
      </c>
      <c r="O244" s="283" t="str">
        <f aca="false">IF(OR($E244="Not Scored",$F$24="No"),"N/A",IF($J244="",$K244,IF($J244="Minor Importance",5,IF($J244="Standard Importance",10,IF($J244="Critical Importance",20,0)))))</f>
        <v>N/A</v>
      </c>
      <c r="P244" s="283" t="str">
        <f aca="false">IF(OR($O244="N/A",$L244="N/A"),"N/A",$O244*$L244)</f>
        <v>N/A</v>
      </c>
      <c r="Q244" s="283" t="n">
        <f aca="false">IF(M244="TRUE",1,0)</f>
        <v>0</v>
      </c>
      <c r="R244" s="283" t="n">
        <f aca="false">R243+Q244</f>
        <v>0</v>
      </c>
      <c r="S244" s="283" t="n">
        <f aca="false">IF(Q244=0,0,R244)</f>
        <v>0</v>
      </c>
      <c r="T244" s="283" t="n">
        <f aca="false">IF(N244=1,1,0)</f>
        <v>0</v>
      </c>
      <c r="U244" s="283" t="n">
        <f aca="false">U243+T244</f>
        <v>64</v>
      </c>
      <c r="V244" s="283" t="n">
        <f aca="false">IF(T244=0,0,U244)</f>
        <v>0</v>
      </c>
    </row>
    <row r="245" customFormat="false" ht="39.55" hidden="false" customHeight="false" outlineLevel="0" collapsed="false">
      <c r="A245" s="311" t="str">
        <f aca="false">Questions!$A245</f>
        <v>PCOM-03</v>
      </c>
      <c r="B245" s="311" t="str">
        <f aca="false">LEFT(A245,4)</f>
        <v>PCOM</v>
      </c>
      <c r="C245" s="311" t="str">
        <f aca="false">VLOOKUP($A245,Questions!$A$3:$L$333,2,0)&amp;""</f>
        <v>Have you had any violations of your internal privacy policies or violations of applicable privacy law in the past 36 months?</v>
      </c>
      <c r="D245" s="311" t="str">
        <f aca="false">VLOOKUP($A245,Questions!$A$3:$L$333,11,0)&amp;""</f>
        <v/>
      </c>
      <c r="E245" s="311" t="str">
        <f aca="false">VLOOKUP($A245,Questions!$A$3:$L$333,12,0)&amp;""</f>
        <v>Privacy</v>
      </c>
      <c r="F245" s="311" t="str">
        <f aca="false">VLOOKUP($A245,'Privacy Analyst Evaluation'!$A$46:$K$120,3,0)&amp;""</f>
        <v>no</v>
      </c>
      <c r="G245" s="311" t="str">
        <f aca="false">VLOOKUP($A245,'Privacy Analyst Evaluation'!$A$46:$K$120,7,0)&amp;""</f>
        <v>No</v>
      </c>
      <c r="H245" s="311" t="str">
        <f aca="false">VLOOKUP($A245,'Privacy Analyst Evaluation'!$A$46:$K$120,8,0)&amp;""</f>
        <v/>
      </c>
      <c r="I245" s="311" t="str">
        <f aca="false">VLOOKUP($A245,'Privacy Analyst Evaluation'!$A$46:$K$120,9,0)&amp;""</f>
        <v>Minor Importance</v>
      </c>
      <c r="J245" s="311" t="str">
        <f aca="false">VLOOKUP($A245,'Privacy Analyst Evaluation'!$A$46:$K$120,10,0)&amp;""</f>
        <v/>
      </c>
      <c r="K245" s="311" t="n">
        <f aca="false">IF($I245="Critical Importance",20,IF($I245="Minor Importance",5,10))</f>
        <v>5</v>
      </c>
      <c r="L245" s="283" t="n">
        <f aca="false">IF($E245="Not Scored", "N/A",IF(AND($D245='Auto Responses'!$J$27,$H245=""),"N/A",IF(AND($D245='Auto Responses'!$J$27,$H245='Auto Responses'!$J$7),1,IF(AND($D245='Auto Responses'!$J$27,$H245='Auto Responses'!$J$8),0,IF(OR($F245=$G245,$H245='Auto Responses'!$J$7),1,0)))))</f>
        <v>1</v>
      </c>
      <c r="M245" s="311" t="str">
        <f aca="false">VLOOKUP($A245,'Privacy Analyst Evaluation'!$A$46:$K$120,10,0)&amp;""</f>
        <v/>
      </c>
      <c r="N245" s="311" t="n">
        <f aca="false">IF($J245="Critical Importance",1,IF(AND($J245="",$I245="Critical Importance"),1,0))</f>
        <v>0</v>
      </c>
      <c r="O245" s="283" t="str">
        <f aca="false">IF(OR($E245="Not Scored",$F$24="No"),"N/A",IF($J245="",$K245,IF($J245="Minor Importance",5,IF($J245="Standard Importance",10,IF($J245="Critical Importance",20,0)))))</f>
        <v>N/A</v>
      </c>
      <c r="P245" s="283" t="str">
        <f aca="false">IF(OR($O245="N/A",$L245="N/A"),"N/A",$O245*$L245)</f>
        <v>N/A</v>
      </c>
      <c r="Q245" s="283" t="n">
        <f aca="false">IF(M245="TRUE",1,0)</f>
        <v>0</v>
      </c>
      <c r="R245" s="283" t="n">
        <f aca="false">R244+Q245</f>
        <v>0</v>
      </c>
      <c r="S245" s="283" t="n">
        <f aca="false">IF(Q245=0,0,R245)</f>
        <v>0</v>
      </c>
      <c r="T245" s="283" t="n">
        <f aca="false">IF(N245=1,1,0)</f>
        <v>0</v>
      </c>
      <c r="U245" s="283" t="n">
        <f aca="false">U244+T245</f>
        <v>64</v>
      </c>
      <c r="V245" s="283" t="n">
        <f aca="false">IF(T245=0,0,U245)</f>
        <v>0</v>
      </c>
    </row>
    <row r="246" customFormat="false" ht="26.85" hidden="false" customHeight="false" outlineLevel="0" collapsed="false">
      <c r="A246" s="311" t="str">
        <f aca="false">Questions!$A246</f>
        <v>PCOM-04</v>
      </c>
      <c r="B246" s="311" t="str">
        <f aca="false">LEFT(A246,4)</f>
        <v>PCOM</v>
      </c>
      <c r="C246" s="311" t="str">
        <f aca="false">VLOOKUP($A246,Questions!$A$3:$L$333,2,0)&amp;""</f>
        <v>Do you have a dedicated data privacy staff or office?</v>
      </c>
      <c r="D246" s="311" t="str">
        <f aca="false">VLOOKUP($A246,Questions!$A$3:$L$333,11,0)&amp;""</f>
        <v/>
      </c>
      <c r="E246" s="311" t="str">
        <f aca="false">VLOOKUP($A246,Questions!$A$3:$L$333,12,0)&amp;""</f>
        <v>Privacy</v>
      </c>
      <c r="F246" s="311" t="str">
        <f aca="false">VLOOKUP($A246,'Privacy Analyst Evaluation'!$A$46:$K$120,3,0)&amp;""</f>
        <v>no</v>
      </c>
      <c r="G246" s="311" t="str">
        <f aca="false">VLOOKUP($A246,'Privacy Analyst Evaluation'!$A$46:$K$120,7,0)&amp;""</f>
        <v>Yes</v>
      </c>
      <c r="H246" s="311" t="str">
        <f aca="false">VLOOKUP($A246,'Privacy Analyst Evaluation'!$A$46:$K$120,8,0)&amp;""</f>
        <v/>
      </c>
      <c r="I246" s="311" t="str">
        <f aca="false">VLOOKUP($A246,'Privacy Analyst Evaluation'!$A$46:$K$120,9,0)&amp;""</f>
        <v>Minor Importance</v>
      </c>
      <c r="J246" s="311" t="str">
        <f aca="false">VLOOKUP($A246,'Privacy Analyst Evaluation'!$A$46:$K$120,10,0)&amp;""</f>
        <v/>
      </c>
      <c r="K246" s="311" t="n">
        <f aca="false">IF($I246="Critical Importance",20,IF($I246="Minor Importance",5,10))</f>
        <v>5</v>
      </c>
      <c r="L246" s="283" t="n">
        <f aca="false">IF($E246="Not Scored", "N/A",IF(AND($D246='Auto Responses'!$J$27,$H246=""),"N/A",IF(AND($D246='Auto Responses'!$J$27,$H246='Auto Responses'!$J$7),1,IF(AND($D246='Auto Responses'!$J$27,$H246='Auto Responses'!$J$8),0,IF(OR($F246=$G246,$H246='Auto Responses'!$J$7),1,0)))))</f>
        <v>0</v>
      </c>
      <c r="M246" s="311" t="str">
        <f aca="false">VLOOKUP($A246,'Privacy Analyst Evaluation'!$A$46:$K$120,10,0)&amp;""</f>
        <v/>
      </c>
      <c r="N246" s="311" t="n">
        <f aca="false">IF($J246="Critical Importance",1,IF(AND($J246="",$I246="Critical Importance"),1,0))</f>
        <v>0</v>
      </c>
      <c r="O246" s="283" t="str">
        <f aca="false">IF(OR($E246="Not Scored",$F$24="No"),"N/A",IF($J246="",$K246,IF($J246="Minor Importance",5,IF($J246="Standard Importance",10,IF($J246="Critical Importance",20,0)))))</f>
        <v>N/A</v>
      </c>
      <c r="P246" s="283" t="str">
        <f aca="false">IF(OR($O246="N/A",$L246="N/A"),"N/A",$O246*$L246)</f>
        <v>N/A</v>
      </c>
      <c r="Q246" s="283" t="n">
        <f aca="false">IF(M246="TRUE",1,0)</f>
        <v>0</v>
      </c>
      <c r="R246" s="283" t="n">
        <f aca="false">R245+Q246</f>
        <v>0</v>
      </c>
      <c r="S246" s="283" t="n">
        <f aca="false">IF(Q246=0,0,R246)</f>
        <v>0</v>
      </c>
      <c r="T246" s="283" t="n">
        <f aca="false">IF(N246=1,1,0)</f>
        <v>0</v>
      </c>
      <c r="U246" s="283" t="n">
        <f aca="false">U245+T246</f>
        <v>64</v>
      </c>
      <c r="V246" s="283" t="n">
        <f aca="false">IF(T246=0,0,U246)</f>
        <v>0</v>
      </c>
    </row>
    <row r="247" customFormat="false" ht="26.85" hidden="false" customHeight="false" outlineLevel="0" collapsed="false">
      <c r="A247" s="311" t="str">
        <f aca="false">Questions!$A247</f>
        <v>PDOC-01</v>
      </c>
      <c r="B247" s="311" t="str">
        <f aca="false">LEFT(A247,4)</f>
        <v>PDOC</v>
      </c>
      <c r="C247" s="311" t="str">
        <f aca="false">VLOOKUP($A247,Questions!$A$3:$L$333,2,0)&amp;""</f>
        <v>If you have completed a SOC 2 audit, does it include the Privacy Trust Service Principle?</v>
      </c>
      <c r="D247" s="311" t="str">
        <f aca="false">VLOOKUP($A247,Questions!$A$3:$L$333,11,0)&amp;""</f>
        <v>Neutral until evaluated</v>
      </c>
      <c r="E247" s="311" t="str">
        <f aca="false">VLOOKUP($A247,Questions!$A$3:$L$333,12,0)&amp;""</f>
        <v>Not scored</v>
      </c>
      <c r="F247" s="311" t="str">
        <f aca="false">VLOOKUP($A247,'Privacy Analyst Evaluation'!$A$46:$K$120,3,0)&amp;""</f>
        <v>no</v>
      </c>
      <c r="G247" s="311" t="str">
        <f aca="false">VLOOKUP($A247,'Privacy Analyst Evaluation'!$A$46:$K$120,7,0)&amp;""</f>
        <v>Yes</v>
      </c>
      <c r="H247" s="311" t="str">
        <f aca="false">VLOOKUP($A247,'Privacy Analyst Evaluation'!$A$46:$K$120,8,0)&amp;""</f>
        <v/>
      </c>
      <c r="I247" s="311" t="str">
        <f aca="false">VLOOKUP($A247,'Privacy Analyst Evaluation'!$A$46:$K$120,9,0)&amp;""</f>
        <v/>
      </c>
      <c r="J247" s="311" t="str">
        <f aca="false">VLOOKUP($A247,'Privacy Analyst Evaluation'!$A$46:$K$120,10,0)&amp;""</f>
        <v/>
      </c>
      <c r="K247" s="311" t="n">
        <f aca="false">IF($I247="Critical Importance",20,IF($I247="Minor Importance",5,10))</f>
        <v>10</v>
      </c>
      <c r="L247" s="283" t="str">
        <f aca="false">IF($E247="Not Scored", "N/A",IF(AND($D247='Auto Responses'!$J$27,$H247=""),"N/A",IF(AND($D247='Auto Responses'!$J$27,$H247='Auto Responses'!$J$7),1,IF(AND($D247='Auto Responses'!$J$27,$H247='Auto Responses'!$J$8),0,IF(OR($F247=$G247,$H247='Auto Responses'!$J$7),1,0)))))</f>
        <v>N/A</v>
      </c>
      <c r="M247" s="311" t="str">
        <f aca="false">VLOOKUP($A247,'Privacy Analyst Evaluation'!$A$46:$K$120,10,0)&amp;""</f>
        <v/>
      </c>
      <c r="N247" s="311" t="n">
        <f aca="false">IF($J247="Critical Importance",1,IF(AND($J247="",$I247="Critical Importance"),1,0))</f>
        <v>0</v>
      </c>
      <c r="O247" s="283" t="str">
        <f aca="false">IF(OR($E247="Not Scored",$F247="N/A",$F$24="No"),"N/A",IF($J247="",$K247,IF($J247="Minor Importance",5,IF($J247="Standard Importance",10,IF($J247="Critical Importance",20,0)))))</f>
        <v>N/A</v>
      </c>
      <c r="P247" s="283" t="str">
        <f aca="false">IF(OR($O247="N/A",$L247="N/A"),"N/A",$O247*$L247)</f>
        <v>N/A</v>
      </c>
      <c r="Q247" s="283" t="n">
        <f aca="false">IF(M247="TRUE",1,0)</f>
        <v>0</v>
      </c>
      <c r="R247" s="283" t="n">
        <f aca="false">R246+Q247</f>
        <v>0</v>
      </c>
      <c r="S247" s="283" t="n">
        <f aca="false">IF(Q247=0,0,R247)</f>
        <v>0</v>
      </c>
      <c r="T247" s="283" t="n">
        <f aca="false">IF(N247=1,1,0)</f>
        <v>0</v>
      </c>
      <c r="U247" s="283" t="n">
        <f aca="false">U246+T247</f>
        <v>64</v>
      </c>
      <c r="V247" s="283" t="n">
        <f aca="false">IF(T247=0,0,U247)</f>
        <v>0</v>
      </c>
    </row>
    <row r="248" customFormat="false" ht="39.55" hidden="false" customHeight="false" outlineLevel="0" collapsed="false">
      <c r="A248" s="311" t="str">
        <f aca="false">Questions!$A248</f>
        <v>PDOC-02</v>
      </c>
      <c r="B248" s="311" t="str">
        <f aca="false">LEFT(A248,4)</f>
        <v>PDOC</v>
      </c>
      <c r="C248" s="311" t="str">
        <f aca="false">VLOOKUP($A248,Questions!$A$3:$L$333,2,0)&amp;""</f>
        <v>Do you conform with a specific industry-standard privacy framework (e.g., NIST Privacy Framework, GDPR, ISO 27701)?</v>
      </c>
      <c r="D248" s="311" t="str">
        <f aca="false">VLOOKUP($A248,Questions!$A$3:$L$333,11,0)&amp;""</f>
        <v>Neutral until evaluated</v>
      </c>
      <c r="E248" s="311" t="str">
        <f aca="false">VLOOKUP($A248,Questions!$A$3:$L$333,12,0)&amp;""</f>
        <v>Not scored</v>
      </c>
      <c r="F248" s="311" t="str">
        <f aca="false">VLOOKUP($A248,'Privacy Analyst Evaluation'!$A$46:$K$120,3,0)&amp;""</f>
        <v>No</v>
      </c>
      <c r="G248" s="311" t="str">
        <f aca="false">VLOOKUP($A248,'Privacy Analyst Evaluation'!$A$46:$K$120,7,0)&amp;""</f>
        <v>Yes</v>
      </c>
      <c r="H248" s="311" t="str">
        <f aca="false">VLOOKUP($A248,'Privacy Analyst Evaluation'!$A$46:$K$120,8,0)&amp;""</f>
        <v/>
      </c>
      <c r="I248" s="311" t="str">
        <f aca="false">VLOOKUP($A248,'Privacy Analyst Evaluation'!$A$46:$K$120,9,0)&amp;""</f>
        <v/>
      </c>
      <c r="J248" s="311" t="str">
        <f aca="false">VLOOKUP($A248,'Privacy Analyst Evaluation'!$A$46:$K$120,10,0)&amp;""</f>
        <v/>
      </c>
      <c r="K248" s="311" t="n">
        <f aca="false">IF($I248="Critical Importance",20,IF($I248="Minor Importance",5,10))</f>
        <v>10</v>
      </c>
      <c r="L248" s="283" t="str">
        <f aca="false">IF($E248="Not Scored", "N/A",IF(AND($D248='Auto Responses'!$J$27,$H248=""),"N/A",IF(AND($D248='Auto Responses'!$J$27,$H248='Auto Responses'!$J$7),1,IF(AND($D248='Auto Responses'!$J$27,$H248='Auto Responses'!$J$8),0,IF(OR($F248=$G248,$H248='Auto Responses'!$J$7),1,0)))))</f>
        <v>N/A</v>
      </c>
      <c r="M248" s="311" t="str">
        <f aca="false">VLOOKUP($A248,'Privacy Analyst Evaluation'!$A$46:$K$120,10,0)&amp;""</f>
        <v/>
      </c>
      <c r="N248" s="311" t="n">
        <f aca="false">IF($J248="Critical Importance",1,IF(AND($J248="",$I248="Critical Importance"),1,0))</f>
        <v>0</v>
      </c>
      <c r="O248" s="283" t="str">
        <f aca="false">IF(OR($E248="Not Scored",$F$24="No"),"N/A",IF($J248="",$K248,IF($J248="Minor Importance",5,IF($J248="Standard Importance",10,IF($J248="Critical Importance",20,0)))))</f>
        <v>N/A</v>
      </c>
      <c r="P248" s="283" t="str">
        <f aca="false">IF(OR($O248="N/A",$L248="N/A"),"N/A",$O248*$L248)</f>
        <v>N/A</v>
      </c>
      <c r="Q248" s="283" t="n">
        <f aca="false">IF(M248="TRUE",1,0)</f>
        <v>0</v>
      </c>
      <c r="R248" s="283" t="n">
        <f aca="false">R247+Q248</f>
        <v>0</v>
      </c>
      <c r="S248" s="283" t="n">
        <f aca="false">IF(Q248=0,0,R248)</f>
        <v>0</v>
      </c>
      <c r="T248" s="283" t="n">
        <f aca="false">IF(N248=1,1,0)</f>
        <v>0</v>
      </c>
      <c r="U248" s="283" t="n">
        <f aca="false">U247+T248</f>
        <v>64</v>
      </c>
      <c r="V248" s="283" t="n">
        <f aca="false">IF(T248=0,0,U248)</f>
        <v>0</v>
      </c>
    </row>
    <row r="249" customFormat="false" ht="52.2" hidden="false" customHeight="false" outlineLevel="0" collapsed="false">
      <c r="A249" s="311" t="str">
        <f aca="false">Questions!$A249</f>
        <v>PDOC-03</v>
      </c>
      <c r="B249" s="311" t="str">
        <f aca="false">LEFT(A249,4)</f>
        <v>PDOC</v>
      </c>
      <c r="C249" s="311" t="str">
        <f aca="false">VLOOKUP($A249,Questions!$A$3:$L$333,2,0)&amp;""</f>
        <v>Does your employee onboarding and offboarding policy include training of employees on information security and data privacy?</v>
      </c>
      <c r="D249" s="311" t="str">
        <f aca="false">VLOOKUP($A249,Questions!$A$3:$L$333,11,0)&amp;""</f>
        <v/>
      </c>
      <c r="E249" s="311" t="str">
        <f aca="false">VLOOKUP($A249,Questions!$A$3:$L$333,12,0)&amp;""</f>
        <v>Privacy</v>
      </c>
      <c r="F249" s="311" t="str">
        <f aca="false">VLOOKUP($A249,'Privacy Analyst Evaluation'!$A$46:$K$120,3,0)&amp;""</f>
        <v>NO</v>
      </c>
      <c r="G249" s="311" t="str">
        <f aca="false">VLOOKUP($A249,'Privacy Analyst Evaluation'!$A$46:$K$120,7,0)&amp;""</f>
        <v>Yes</v>
      </c>
      <c r="H249" s="311" t="str">
        <f aca="false">VLOOKUP($A249,'Privacy Analyst Evaluation'!$A$46:$K$120,8,0)&amp;""</f>
        <v/>
      </c>
      <c r="I249" s="311" t="str">
        <f aca="false">VLOOKUP($A249,'Privacy Analyst Evaluation'!$A$46:$K$120,9,0)&amp;""</f>
        <v>Standard Importance</v>
      </c>
      <c r="J249" s="311" t="str">
        <f aca="false">VLOOKUP($A249,'Privacy Analyst Evaluation'!$A$46:$K$120,10,0)&amp;""</f>
        <v/>
      </c>
      <c r="K249" s="311" t="n">
        <f aca="false">IF($I249="Critical Importance",20,IF($I249="Minor Importance",5,10))</f>
        <v>10</v>
      </c>
      <c r="L249" s="283" t="n">
        <f aca="false">IF($E249="Not Scored", "N/A",IF(AND($D249='Auto Responses'!$J$27,$H249=""),"N/A",IF(AND($D249='Auto Responses'!$J$27,$H249='Auto Responses'!$J$7),1,IF(AND($D249='Auto Responses'!$J$27,$H249='Auto Responses'!$J$8),0,IF(OR($F249=$G249,$H249='Auto Responses'!$J$7),1,0)))))</f>
        <v>0</v>
      </c>
      <c r="M249" s="311" t="str">
        <f aca="false">VLOOKUP($A249,'Privacy Analyst Evaluation'!$A$46:$K$120,10,0)&amp;""</f>
        <v/>
      </c>
      <c r="N249" s="311" t="n">
        <f aca="false">IF($J249="Critical Importance",1,IF(AND($J249="",$I249="Critical Importance"),1,0))</f>
        <v>0</v>
      </c>
      <c r="O249" s="283" t="str">
        <f aca="false">IF(OR($E249="Not Scored",$F$24="No"),"N/A",IF($J249="",$K249,IF($J249="Minor Importance",5,IF($J249="Standard Importance",10,IF($J249="Critical Importance",20,0)))))</f>
        <v>N/A</v>
      </c>
      <c r="P249" s="283" t="str">
        <f aca="false">IF(OR($O249="N/A",$L249="N/A"),"N/A",$O249*$L249)</f>
        <v>N/A</v>
      </c>
      <c r="Q249" s="283" t="n">
        <f aca="false">IF(M249="TRUE",1,0)</f>
        <v>0</v>
      </c>
      <c r="R249" s="283" t="n">
        <f aca="false">R248+Q249</f>
        <v>0</v>
      </c>
      <c r="S249" s="283" t="n">
        <f aca="false">IF(Q249=0,0,R249)</f>
        <v>0</v>
      </c>
      <c r="T249" s="283" t="n">
        <f aca="false">IF(N249=1,1,0)</f>
        <v>0</v>
      </c>
      <c r="U249" s="283" t="n">
        <f aca="false">U248+T249</f>
        <v>64</v>
      </c>
      <c r="V249" s="283" t="n">
        <f aca="false">IF(T249=0,0,U249)</f>
        <v>0</v>
      </c>
    </row>
    <row r="250" customFormat="false" ht="52.2" hidden="false" customHeight="false" outlineLevel="0" collapsed="false">
      <c r="A250" s="311" t="str">
        <f aca="false">Questions!$A250</f>
        <v>PTHP-01</v>
      </c>
      <c r="B250" s="311" t="str">
        <f aca="false">LEFT(A250,4)</f>
        <v>PTHP</v>
      </c>
      <c r="C250" s="311" t="str">
        <f aca="false">VLOOKUP($A250,Questions!$A$3:$L$333,2,0)&amp;""</f>
        <v>Do you have contractual agreements with third parties that require them to maintain standards and to comply with all regulatory requirements?*</v>
      </c>
      <c r="D250" s="311" t="str">
        <f aca="false">VLOOKUP($A250,Questions!$A$3:$L$333,11,0)&amp;""</f>
        <v/>
      </c>
      <c r="E250" s="311" t="str">
        <f aca="false">VLOOKUP($A250,Questions!$A$3:$L$333,12,0)&amp;""</f>
        <v>Privacy</v>
      </c>
      <c r="F250" s="311" t="str">
        <f aca="false">VLOOKUP($A250,'Privacy Analyst Evaluation'!$A$46:$K$120,3,0)&amp;""</f>
        <v>no</v>
      </c>
      <c r="G250" s="311" t="str">
        <f aca="false">VLOOKUP($A250,'Privacy Analyst Evaluation'!$A$46:$K$120,7,0)&amp;""</f>
        <v>Yes</v>
      </c>
      <c r="H250" s="311" t="str">
        <f aca="false">VLOOKUP($A250,'Privacy Analyst Evaluation'!$A$46:$K$120,8,0)&amp;""</f>
        <v/>
      </c>
      <c r="I250" s="311" t="str">
        <f aca="false">VLOOKUP($A250,'Privacy Analyst Evaluation'!$A$46:$K$120,9,0)&amp;""</f>
        <v>Critical Importance</v>
      </c>
      <c r="J250" s="311" t="str">
        <f aca="false">VLOOKUP($A250,'Privacy Analyst Evaluation'!$A$46:$K$120,10,0)&amp;""</f>
        <v/>
      </c>
      <c r="K250" s="311" t="n">
        <f aca="false">IF($I250="Critical Importance",20,IF($I250="Minor Importance",5,10))</f>
        <v>20</v>
      </c>
      <c r="L250" s="283" t="n">
        <f aca="false">IF($E250="Not Scored", "N/A",IF(AND($D250='Auto Responses'!$J$27,$H250=""),"N/A",IF(AND($D250='Auto Responses'!$J$27,$H250='Auto Responses'!$J$7),1,IF(AND($D250='Auto Responses'!$J$27,$H250='Auto Responses'!$J$8),0,IF(OR($F250=$G250,$H250='Auto Responses'!$J$7),1,0)))))</f>
        <v>0</v>
      </c>
      <c r="M250" s="311" t="str">
        <f aca="false">VLOOKUP($A250,'Privacy Analyst Evaluation'!$A$46:$K$120,10,0)&amp;""</f>
        <v/>
      </c>
      <c r="N250" s="311" t="n">
        <f aca="false">IF($J250="Critical Importance",1,IF(AND($J250="",$I250="Critical Importance"),1,0))</f>
        <v>1</v>
      </c>
      <c r="O250" s="283" t="str">
        <f aca="false">IF(OR($E250="Not Scored",$F$24="No"),"N/A",IF($J250="",$K250,IF($J250="Minor Importance",5,IF($J250="Standard Importance",10,IF($J250="Critical Importance",20,0)))))</f>
        <v>N/A</v>
      </c>
      <c r="P250" s="283" t="str">
        <f aca="false">IF(OR($O250="N/A",$L250="N/A"),"N/A",$O250*$L250)</f>
        <v>N/A</v>
      </c>
      <c r="Q250" s="283" t="n">
        <f aca="false">IF(M250="TRUE",1,0)</f>
        <v>0</v>
      </c>
      <c r="R250" s="283" t="n">
        <f aca="false">R249+Q250</f>
        <v>0</v>
      </c>
      <c r="S250" s="283" t="n">
        <f aca="false">IF(Q250=0,0,R250)</f>
        <v>0</v>
      </c>
      <c r="T250" s="283" t="n">
        <f aca="false">IF(N250=1,1,0)</f>
        <v>1</v>
      </c>
      <c r="U250" s="283" t="n">
        <f aca="false">U249+T250</f>
        <v>65</v>
      </c>
      <c r="V250" s="283" t="n">
        <f aca="false">IF(T250=0,0,U250)</f>
        <v>65</v>
      </c>
    </row>
    <row r="251" customFormat="false" ht="77.6" hidden="false" customHeight="false" outlineLevel="0" collapsed="false">
      <c r="A251" s="311" t="str">
        <f aca="false">Questions!$A251</f>
        <v>PTHP-02</v>
      </c>
      <c r="B251" s="311" t="str">
        <f aca="false">LEFT(A251,4)</f>
        <v>PTHP</v>
      </c>
      <c r="C251" s="311" t="str">
        <f aca="false">VLOOKUP($A251,Questions!$A$3:$L$333,2,0)&amp;""</f>
        <v>Do you perform privacy impact assesments of third parties that collect, process, or have access to personal data to ensure they meet industry and regulatory standards and to mitigate harmful, unethical, or discriminatory impacts on data subjects?</v>
      </c>
      <c r="D251" s="311" t="str">
        <f aca="false">VLOOKUP($A251,Questions!$A$3:$L$333,11,0)&amp;""</f>
        <v/>
      </c>
      <c r="E251" s="311" t="str">
        <f aca="false">VLOOKUP($A251,Questions!$A$3:$L$333,12,0)&amp;""</f>
        <v>Privacy</v>
      </c>
      <c r="F251" s="311" t="str">
        <f aca="false">VLOOKUP($A251,'Privacy Analyst Evaluation'!$A$46:$K$120,3,0)&amp;""</f>
        <v>no</v>
      </c>
      <c r="G251" s="311" t="str">
        <f aca="false">VLOOKUP($A251,'Privacy Analyst Evaluation'!$A$46:$K$120,7,0)&amp;""</f>
        <v>Yes</v>
      </c>
      <c r="H251" s="311" t="str">
        <f aca="false">VLOOKUP($A251,'Privacy Analyst Evaluation'!$A$46:$K$120,8,0)&amp;""</f>
        <v/>
      </c>
      <c r="I251" s="311" t="str">
        <f aca="false">VLOOKUP($A251,'Privacy Analyst Evaluation'!$A$46:$K$120,9,0)&amp;""</f>
        <v>Minor Importance</v>
      </c>
      <c r="J251" s="311" t="str">
        <f aca="false">VLOOKUP($A251,'Privacy Analyst Evaluation'!$A$46:$K$120,10,0)&amp;""</f>
        <v/>
      </c>
      <c r="K251" s="311" t="n">
        <f aca="false">IF($I251="Critical Importance",20,IF($I251="Minor Importance",5,10))</f>
        <v>5</v>
      </c>
      <c r="L251" s="283" t="n">
        <f aca="false">IF($E251="Not Scored", "N/A",IF(AND($D251='Auto Responses'!$J$27,$H251=""),"N/A",IF(AND($D251='Auto Responses'!$J$27,$H251='Auto Responses'!$J$7),1,IF(AND($D251='Auto Responses'!$J$27,$H251='Auto Responses'!$J$8),0,IF(OR($F251=$G251,$H251='Auto Responses'!$J$7),1,0)))))</f>
        <v>0</v>
      </c>
      <c r="M251" s="311" t="str">
        <f aca="false">VLOOKUP($A251,'Privacy Analyst Evaluation'!$A$46:$K$120,10,0)&amp;""</f>
        <v/>
      </c>
      <c r="N251" s="311" t="n">
        <f aca="false">IF($J251="Critical Importance",1,IF(AND($J251="",$I251="Critical Importance"),1,0))</f>
        <v>0</v>
      </c>
      <c r="O251" s="283" t="str">
        <f aca="false">IF(OR($E251="Not Scored",$F$24="No"),"N/A",IF($J251="",$K251,IF($J251="Minor Importance",5,IF($J251="Standard Importance",10,IF($J251="Critical Importance",20,0)))))</f>
        <v>N/A</v>
      </c>
      <c r="P251" s="283" t="str">
        <f aca="false">IF(OR($O251="N/A",$L251="N/A"),"N/A",$O251*$L251)</f>
        <v>N/A</v>
      </c>
      <c r="Q251" s="283" t="n">
        <f aca="false">IF(M251="TRUE",1,0)</f>
        <v>0</v>
      </c>
      <c r="R251" s="283" t="n">
        <f aca="false">R250+Q251</f>
        <v>0</v>
      </c>
      <c r="S251" s="283" t="n">
        <f aca="false">IF(Q251=0,0,R251)</f>
        <v>0</v>
      </c>
      <c r="T251" s="283" t="n">
        <f aca="false">IF(N251=1,1,0)</f>
        <v>0</v>
      </c>
      <c r="U251" s="283" t="n">
        <f aca="false">U250+T251</f>
        <v>65</v>
      </c>
      <c r="V251" s="283" t="n">
        <f aca="false">IF(T251=0,0,U251)</f>
        <v>0</v>
      </c>
    </row>
    <row r="252" customFormat="false" ht="26.85" hidden="false" customHeight="false" outlineLevel="0" collapsed="false">
      <c r="A252" s="311" t="str">
        <f aca="false">Questions!$A252</f>
        <v>PCHG-01</v>
      </c>
      <c r="B252" s="311" t="str">
        <f aca="false">LEFT(A252,4)</f>
        <v>PCHG</v>
      </c>
      <c r="C252" s="311" t="str">
        <f aca="false">VLOOKUP($A252,Questions!$A$3:$L$333,2,0)&amp;""</f>
        <v>Does your change management process include privacy review and approval?</v>
      </c>
      <c r="D252" s="311" t="str">
        <f aca="false">VLOOKUP($A252,Questions!$A$3:$L$333,11,0)&amp;""</f>
        <v>Neutral until evaluated</v>
      </c>
      <c r="E252" s="311" t="str">
        <f aca="false">VLOOKUP($A252,Questions!$A$3:$L$333,12,0)&amp;""</f>
        <v>Privacy</v>
      </c>
      <c r="F252" s="311" t="str">
        <f aca="false">VLOOKUP($A252,'Privacy Analyst Evaluation'!$A$46:$K$120,3,0)&amp;""</f>
        <v>no</v>
      </c>
      <c r="G252" s="311" t="str">
        <f aca="false">VLOOKUP($A252,'Privacy Analyst Evaluation'!$A$46:$K$120,7,0)&amp;""</f>
        <v>Yes</v>
      </c>
      <c r="H252" s="311" t="str">
        <f aca="false">VLOOKUP($A252,'Privacy Analyst Evaluation'!$A$46:$K$120,8,0)&amp;""</f>
        <v/>
      </c>
      <c r="I252" s="311" t="str">
        <f aca="false">VLOOKUP($A252,'Privacy Analyst Evaluation'!$A$46:$K$120,9,0)&amp;""</f>
        <v/>
      </c>
      <c r="J252" s="311" t="str">
        <f aca="false">VLOOKUP($A252,'Privacy Analyst Evaluation'!$A$46:$K$120,10,0)&amp;""</f>
        <v/>
      </c>
      <c r="K252" s="311" t="n">
        <f aca="false">IF($I252="Critical Importance",20,IF($I252="Minor Importance",5,10))</f>
        <v>10</v>
      </c>
      <c r="L252" s="283" t="str">
        <f aca="false">IF($E252="Not Scored", "N/A",IF(AND($D252='Auto Responses'!$J$27,$H252=""),"N/A",IF(AND($D252='Auto Responses'!$J$27,$H252='Auto Responses'!$J$7),1,IF(AND($D252='Auto Responses'!$J$27,$H252='Auto Responses'!$J$8),0,IF(OR($F252=$G252,$H252='Auto Responses'!$J$7),1,0)))))</f>
        <v>N/A</v>
      </c>
      <c r="M252" s="311" t="str">
        <f aca="false">VLOOKUP($A252,'Privacy Analyst Evaluation'!$A$46:$K$120,10,0)&amp;""</f>
        <v/>
      </c>
      <c r="N252" s="311" t="n">
        <f aca="false">IF($J252="Critical Importance",1,IF(AND($J252="",$I252="Critical Importance"),1,0))</f>
        <v>0</v>
      </c>
      <c r="O252" s="283" t="str">
        <f aca="false">IF(OR($E252="Not Scored",$F$24="No"),"N/A",IF($J252="",$K252,IF($J252="Minor Importance",5,IF($J252="Standard Importance",10,IF($J252="Critical Importance",20,0)))))</f>
        <v>N/A</v>
      </c>
      <c r="P252" s="283" t="str">
        <f aca="false">IF(OR($O252="N/A",$L252="N/A"),"N/A",$O252*$L252)</f>
        <v>N/A</v>
      </c>
      <c r="Q252" s="283" t="n">
        <f aca="false">IF(M252="TRUE",1,0)</f>
        <v>0</v>
      </c>
      <c r="R252" s="283" t="n">
        <f aca="false">R251+Q252</f>
        <v>0</v>
      </c>
      <c r="S252" s="283" t="n">
        <f aca="false">IF(Q252=0,0,R252)</f>
        <v>0</v>
      </c>
      <c r="T252" s="283" t="n">
        <f aca="false">IF(N252=1,1,0)</f>
        <v>0</v>
      </c>
      <c r="U252" s="283" t="n">
        <f aca="false">U251+T252</f>
        <v>65</v>
      </c>
      <c r="V252" s="283" t="n">
        <f aca="false">IF(T252=0,0,U252)</f>
        <v>0</v>
      </c>
    </row>
    <row r="253" customFormat="false" ht="39.55" hidden="false" customHeight="false" outlineLevel="0" collapsed="false">
      <c r="A253" s="311" t="str">
        <f aca="false">Questions!$A253</f>
        <v>PCHG-02</v>
      </c>
      <c r="B253" s="311" t="str">
        <f aca="false">LEFT(A253,4)</f>
        <v>PCHG</v>
      </c>
      <c r="C253" s="311" t="str">
        <f aca="false">VLOOKUP($A253,Questions!$A$3:$L$333,2,0)&amp;""</f>
        <v>Do you have policy and procedure, currently implemented, guiding how privacy risks are mitigated until they can be resolved?</v>
      </c>
      <c r="D253" s="311" t="str">
        <f aca="false">VLOOKUP($A253,Questions!$A$3:$L$333,11,0)&amp;""</f>
        <v/>
      </c>
      <c r="E253" s="311" t="str">
        <f aca="false">VLOOKUP($A253,Questions!$A$3:$L$333,12,0)&amp;""</f>
        <v>Privacy</v>
      </c>
      <c r="F253" s="311" t="str">
        <f aca="false">VLOOKUP($A253,'Privacy Analyst Evaluation'!$A$46:$K$120,3,0)&amp;""</f>
        <v>NO</v>
      </c>
      <c r="G253" s="311" t="str">
        <f aca="false">VLOOKUP($A253,'Privacy Analyst Evaluation'!$A$46:$K$120,7,0)&amp;""</f>
        <v>Yes</v>
      </c>
      <c r="H253" s="311" t="str">
        <f aca="false">VLOOKUP($A253,'Privacy Analyst Evaluation'!$A$46:$K$120,8,0)&amp;""</f>
        <v/>
      </c>
      <c r="I253" s="311" t="str">
        <f aca="false">VLOOKUP($A253,'Privacy Analyst Evaluation'!$A$46:$K$120,9,0)&amp;""</f>
        <v>Minor Importance</v>
      </c>
      <c r="J253" s="311" t="str">
        <f aca="false">VLOOKUP($A253,'Privacy Analyst Evaluation'!$A$46:$K$120,10,0)&amp;""</f>
        <v/>
      </c>
      <c r="K253" s="311" t="n">
        <f aca="false">IF($I253="Critical Importance",20,IF($I253="Minor Importance",5,10))</f>
        <v>5</v>
      </c>
      <c r="L253" s="283" t="n">
        <f aca="false">IF($E253="Not Scored", "N/A",IF(AND($D253='Auto Responses'!$J$27,$H253=""),"N/A",IF(AND($D253='Auto Responses'!$J$27,$H253='Auto Responses'!$J$7),1,IF(AND($D253='Auto Responses'!$J$27,$H253='Auto Responses'!$J$8),0,IF(OR($F253=$G253,$H253='Auto Responses'!$J$7),1,0)))))</f>
        <v>0</v>
      </c>
      <c r="M253" s="311" t="str">
        <f aca="false">VLOOKUP($A253,'Privacy Analyst Evaluation'!$A$46:$K$120,10,0)&amp;""</f>
        <v/>
      </c>
      <c r="N253" s="311" t="n">
        <f aca="false">IF($J253="Critical Importance",1,IF(AND($J253="",$I253="Critical Importance"),1,0))</f>
        <v>0</v>
      </c>
      <c r="O253" s="283" t="str">
        <f aca="false">IF(OR($E253="Not Scored",$F$24="No"),"N/A",IF($J253="",$K253,IF($J253="Minor Importance",5,IF($J253="Standard Importance",10,IF($J253="Critical Importance",20,0)))))</f>
        <v>N/A</v>
      </c>
      <c r="P253" s="283" t="str">
        <f aca="false">IF(OR($O253="N/A",$L253="N/A"),"N/A",$O253*$L253)</f>
        <v>N/A</v>
      </c>
      <c r="Q253" s="283" t="n">
        <f aca="false">IF(M253="TRUE",1,0)</f>
        <v>0</v>
      </c>
      <c r="R253" s="283" t="n">
        <f aca="false">R252+Q253</f>
        <v>0</v>
      </c>
      <c r="S253" s="283" t="n">
        <f aca="false">IF(Q253=0,0,R253)</f>
        <v>0</v>
      </c>
      <c r="T253" s="283" t="n">
        <f aca="false">IF(N253=1,1,0)</f>
        <v>0</v>
      </c>
      <c r="U253" s="283" t="n">
        <f aca="false">U252+T253</f>
        <v>65</v>
      </c>
      <c r="V253" s="283" t="n">
        <f aca="false">IF(T253=0,0,U253)</f>
        <v>0</v>
      </c>
    </row>
    <row r="254" customFormat="false" ht="26.85" hidden="false" customHeight="false" outlineLevel="0" collapsed="false">
      <c r="A254" s="311" t="str">
        <f aca="false">Questions!$A254</f>
        <v>PDAT-01</v>
      </c>
      <c r="B254" s="311" t="str">
        <f aca="false">LEFT(A254,4)</f>
        <v>PDAT</v>
      </c>
      <c r="C254" s="311" t="str">
        <f aca="false">VLOOKUP($A254,Questions!$A$3:$L$333,2,0)&amp;""</f>
        <v>Do you collect, process, or store demographic information?*</v>
      </c>
      <c r="D254" s="311" t="str">
        <f aca="false">VLOOKUP($A254,Questions!$A$3:$L$333,11,0)&amp;""</f>
        <v>Neutral until evaluated</v>
      </c>
      <c r="E254" s="311" t="str">
        <f aca="false">VLOOKUP($A254,Questions!$A$3:$L$333,12,0)&amp;""</f>
        <v>Privacy</v>
      </c>
      <c r="F254" s="311" t="str">
        <f aca="false">VLOOKUP($A254,'Privacy Analyst Evaluation'!$A$46:$K$120,3,0)&amp;""</f>
        <v>No</v>
      </c>
      <c r="G254" s="311" t="str">
        <f aca="false">VLOOKUP($A254,'Privacy Analyst Evaluation'!$A$46:$K$120,7,0)&amp;""</f>
        <v>No</v>
      </c>
      <c r="H254" s="311" t="str">
        <f aca="false">VLOOKUP($A254,'Privacy Analyst Evaluation'!$A$46:$K$120,8,0)&amp;""</f>
        <v/>
      </c>
      <c r="I254" s="311" t="str">
        <f aca="false">VLOOKUP($A254,'Privacy Analyst Evaluation'!$A$46:$K$120,9,0)&amp;""</f>
        <v>Critical Importance</v>
      </c>
      <c r="J254" s="311" t="str">
        <f aca="false">VLOOKUP($A254,'Privacy Analyst Evaluation'!$A$46:$K$120,10,0)&amp;""</f>
        <v/>
      </c>
      <c r="K254" s="311" t="n">
        <f aca="false">IF($I254="Critical Importance",20,IF($I254="Minor Importance",5,10))</f>
        <v>20</v>
      </c>
      <c r="L254" s="283" t="str">
        <f aca="false">IF($E254="Not Scored", "N/A",IF(AND($D254='Auto Responses'!$J$27,$H254=""),"N/A",IF(AND($D254='Auto Responses'!$J$27,$H254='Auto Responses'!$J$7),1,IF(AND($D254='Auto Responses'!$J$27,$H254='Auto Responses'!$J$8),0,IF(OR($F254=$G254,$H254='Auto Responses'!$J$7),1,0)))))</f>
        <v>N/A</v>
      </c>
      <c r="M254" s="311" t="str">
        <f aca="false">VLOOKUP($A254,'Privacy Analyst Evaluation'!$A$46:$K$120,10,0)&amp;""</f>
        <v/>
      </c>
      <c r="N254" s="311" t="n">
        <f aca="false">IF($J254="Critical Importance",1,IF(AND($J254="",$I254="Critical Importance"),1,0))</f>
        <v>1</v>
      </c>
      <c r="O254" s="283" t="str">
        <f aca="false">IF(OR($E254="Not Scored",$F$24="No"),"N/A",IF($J254="",$K254,IF($J254="Minor Importance",5,IF($J254="Standard Importance",10,IF($J254="Critical Importance",20,0)))))</f>
        <v>N/A</v>
      </c>
      <c r="P254" s="283" t="str">
        <f aca="false">IF(OR($O254="N/A",$L254="N/A"),"N/A",$O254*$L254)</f>
        <v>N/A</v>
      </c>
      <c r="Q254" s="283" t="n">
        <f aca="false">IF(M254="TRUE",1,0)</f>
        <v>0</v>
      </c>
      <c r="R254" s="283" t="n">
        <f aca="false">R253+Q254</f>
        <v>0</v>
      </c>
      <c r="S254" s="283" t="n">
        <f aca="false">IF(Q254=0,0,R254)</f>
        <v>0</v>
      </c>
      <c r="T254" s="283" t="n">
        <f aca="false">IF(N254=1,1,0)</f>
        <v>1</v>
      </c>
      <c r="U254" s="283" t="n">
        <f aca="false">U253+T254</f>
        <v>66</v>
      </c>
      <c r="V254" s="283" t="n">
        <f aca="false">IF(T254=0,0,U254)</f>
        <v>66</v>
      </c>
    </row>
    <row r="255" customFormat="false" ht="39.55" hidden="false" customHeight="false" outlineLevel="0" collapsed="false">
      <c r="A255" s="311" t="str">
        <f aca="false">Questions!$A255</f>
        <v>PDAT-02</v>
      </c>
      <c r="B255" s="311" t="str">
        <f aca="false">LEFT(A255,4)</f>
        <v>PDAT</v>
      </c>
      <c r="C255" s="311" t="str">
        <f aca="false">VLOOKUP($A255,Questions!$A$3:$L$333,2,0)&amp;""</f>
        <v>Do you capture or create genetic, biometric, or behaviometric information (e.g., facial recognition or fingerprints)?*</v>
      </c>
      <c r="D255" s="311" t="str">
        <f aca="false">VLOOKUP($A255,Questions!$A$3:$L$333,11,0)&amp;""</f>
        <v>Neutral until evaluated</v>
      </c>
      <c r="E255" s="311" t="str">
        <f aca="false">VLOOKUP($A255,Questions!$A$3:$L$333,12,0)&amp;""</f>
        <v>Privacy</v>
      </c>
      <c r="F255" s="311" t="str">
        <f aca="false">VLOOKUP($A255,'Privacy Analyst Evaluation'!$A$46:$K$120,3,0)&amp;""</f>
        <v>no</v>
      </c>
      <c r="G255" s="311" t="str">
        <f aca="false">VLOOKUP($A255,'Privacy Analyst Evaluation'!$A$46:$K$120,7,0)&amp;""</f>
        <v>No</v>
      </c>
      <c r="H255" s="311" t="str">
        <f aca="false">VLOOKUP($A255,'Privacy Analyst Evaluation'!$A$46:$K$120,8,0)&amp;""</f>
        <v/>
      </c>
      <c r="I255" s="311" t="str">
        <f aca="false">VLOOKUP($A255,'Privacy Analyst Evaluation'!$A$46:$K$120,9,0)&amp;""</f>
        <v>Critical Importance</v>
      </c>
      <c r="J255" s="311" t="str">
        <f aca="false">VLOOKUP($A255,'Privacy Analyst Evaluation'!$A$46:$K$120,10,0)&amp;""</f>
        <v/>
      </c>
      <c r="K255" s="311" t="n">
        <f aca="false">IF($I255="Critical Importance",20,IF($I255="Minor Importance",5,10))</f>
        <v>20</v>
      </c>
      <c r="L255" s="283" t="str">
        <f aca="false">IF($E255="Not Scored", "N/A",IF(AND($D255='Auto Responses'!$J$27,$H255=""),"N/A",IF(AND($D255='Auto Responses'!$J$27,$H255='Auto Responses'!$J$7),1,IF(AND($D255='Auto Responses'!$J$27,$H255='Auto Responses'!$J$8),0,IF(OR($F255=$G255,$H255='Auto Responses'!$J$7),1,0)))))</f>
        <v>N/A</v>
      </c>
      <c r="M255" s="311" t="str">
        <f aca="false">VLOOKUP($A255,'Privacy Analyst Evaluation'!$A$46:$K$120,10,0)&amp;""</f>
        <v/>
      </c>
      <c r="N255" s="311" t="n">
        <f aca="false">IF($J255="Critical Importance",1,IF(AND($J255="",$I255="Critical Importance"),1,0))</f>
        <v>1</v>
      </c>
      <c r="O255" s="283" t="str">
        <f aca="false">IF(OR($E255="Not Scored",$F$24="No"),"N/A",IF($J255="",$K255,IF($J255="Minor Importance",5,IF($J255="Standard Importance",10,IF($J255="Critical Importance",20,0)))))</f>
        <v>N/A</v>
      </c>
      <c r="P255" s="283" t="str">
        <f aca="false">IF(OR($O255="N/A",$L255="N/A"),"N/A",$O255*$L255)</f>
        <v>N/A</v>
      </c>
      <c r="Q255" s="283" t="n">
        <f aca="false">IF(M255="TRUE",1,0)</f>
        <v>0</v>
      </c>
      <c r="R255" s="283" t="n">
        <f aca="false">R254+Q255</f>
        <v>0</v>
      </c>
      <c r="S255" s="283" t="n">
        <f aca="false">IF(Q255=0,0,R255)</f>
        <v>0</v>
      </c>
      <c r="T255" s="283" t="n">
        <f aca="false">IF(N255=1,1,0)</f>
        <v>1</v>
      </c>
      <c r="U255" s="283" t="n">
        <f aca="false">U254+T255</f>
        <v>67</v>
      </c>
      <c r="V255" s="283" t="n">
        <f aca="false">IF(T255=0,0,U255)</f>
        <v>67</v>
      </c>
    </row>
    <row r="256" customFormat="false" ht="52.2" hidden="false" customHeight="false" outlineLevel="0" collapsed="false">
      <c r="A256" s="311" t="str">
        <f aca="false">Questions!$A256</f>
        <v>PDAT-03</v>
      </c>
      <c r="B256" s="311" t="str">
        <f aca="false">LEFT(A256,4)</f>
        <v>PDAT</v>
      </c>
      <c r="C256" s="311" t="str">
        <f aca="false">VLOOKUP($A256,Questions!$A$3:$L$333,2,0)&amp;""</f>
        <v>Do you combine institutional data (including "de-identified," "anonymized," or otherwise masked data) with personal data from any other sources?*</v>
      </c>
      <c r="D256" s="311" t="str">
        <f aca="false">VLOOKUP($A256,Questions!$A$3:$L$333,11,0)&amp;""</f>
        <v>Neutral until evaluated</v>
      </c>
      <c r="E256" s="311" t="str">
        <f aca="false">VLOOKUP($A256,Questions!$A$3:$L$333,12,0)&amp;""</f>
        <v>Privacy</v>
      </c>
      <c r="F256" s="311" t="str">
        <f aca="false">VLOOKUP($A256,'Privacy Analyst Evaluation'!$A$46:$K$120,3,0)&amp;""</f>
        <v>no</v>
      </c>
      <c r="G256" s="311" t="str">
        <f aca="false">VLOOKUP($A256,'Privacy Analyst Evaluation'!$A$46:$K$120,7,0)&amp;""</f>
        <v>No</v>
      </c>
      <c r="H256" s="311" t="str">
        <f aca="false">VLOOKUP($A256,'Privacy Analyst Evaluation'!$A$46:$K$120,8,0)&amp;""</f>
        <v/>
      </c>
      <c r="I256" s="311" t="str">
        <f aca="false">VLOOKUP($A256,'Privacy Analyst Evaluation'!$A$46:$K$120,9,0)&amp;""</f>
        <v>Critical Importance</v>
      </c>
      <c r="J256" s="311" t="str">
        <f aca="false">VLOOKUP($A256,'Privacy Analyst Evaluation'!$A$46:$K$120,10,0)&amp;""</f>
        <v/>
      </c>
      <c r="K256" s="311" t="n">
        <f aca="false">IF($I256="Critical Importance",20,IF($I256="Minor Importance",5,10))</f>
        <v>20</v>
      </c>
      <c r="L256" s="283" t="str">
        <f aca="false">IF($E256="Not Scored", "N/A",IF(AND($D256='Auto Responses'!$J$27,$H256=""),"N/A",IF(AND($D256='Auto Responses'!$J$27,$H256='Auto Responses'!$J$7),1,IF(AND($D256='Auto Responses'!$J$27,$H256='Auto Responses'!$J$8),0,IF(OR($F256=$G256,$H256='Auto Responses'!$J$7),1,0)))))</f>
        <v>N/A</v>
      </c>
      <c r="M256" s="311" t="str">
        <f aca="false">VLOOKUP($A256,'Privacy Analyst Evaluation'!$A$46:$K$120,10,0)&amp;""</f>
        <v/>
      </c>
      <c r="N256" s="311" t="n">
        <f aca="false">IF($J256="Critical Importance",1,IF(AND($J256="",$I256="Critical Importance"),1,0))</f>
        <v>1</v>
      </c>
      <c r="O256" s="283" t="str">
        <f aca="false">IF(OR($E256="Not Scored",$F$24="No"),"N/A",IF($J256="",$K256,IF($J256="Minor Importance",5,IF($J256="Standard Importance",10,IF($J256="Critical Importance",20,0)))))</f>
        <v>N/A</v>
      </c>
      <c r="P256" s="283" t="str">
        <f aca="false">IF(OR($O256="N/A",$L256="N/A"),"N/A",$O256*$L256)</f>
        <v>N/A</v>
      </c>
      <c r="Q256" s="283" t="n">
        <f aca="false">IF(M256="TRUE",1,0)</f>
        <v>0</v>
      </c>
      <c r="R256" s="283" t="n">
        <f aca="false">R255+Q256</f>
        <v>0</v>
      </c>
      <c r="S256" s="283" t="n">
        <f aca="false">IF(Q256=0,0,R256)</f>
        <v>0</v>
      </c>
      <c r="T256" s="283" t="n">
        <f aca="false">IF(N256=1,1,0)</f>
        <v>1</v>
      </c>
      <c r="U256" s="283" t="n">
        <f aca="false">U255+T256</f>
        <v>68</v>
      </c>
      <c r="V256" s="283" t="n">
        <f aca="false">IF(T256=0,0,U256)</f>
        <v>68</v>
      </c>
    </row>
    <row r="257" customFormat="false" ht="39.55" hidden="false" customHeight="false" outlineLevel="0" collapsed="false">
      <c r="A257" s="311" t="str">
        <f aca="false">Questions!$A257</f>
        <v>PDAT-04</v>
      </c>
      <c r="B257" s="311" t="str">
        <f aca="false">LEFT(A257,4)</f>
        <v>PDAT</v>
      </c>
      <c r="C257" s="311" t="str">
        <f aca="false">VLOOKUP($A257,Questions!$A$3:$L$333,2,0)&amp;""</f>
        <v>Is institutional data coming into or going out of the United States at any point during collection, processing, storage, or archiving?</v>
      </c>
      <c r="D257" s="311" t="str">
        <f aca="false">VLOOKUP($A257,Questions!$A$3:$L$333,11,0)&amp;""</f>
        <v/>
      </c>
      <c r="E257" s="311" t="str">
        <f aca="false">VLOOKUP($A257,Questions!$A$3:$L$333,12,0)&amp;""</f>
        <v>Privacy</v>
      </c>
      <c r="F257" s="311" t="str">
        <f aca="false">VLOOKUP($A257,'Privacy Analyst Evaluation'!$A$46:$K$120,3,0)&amp;""</f>
        <v>no</v>
      </c>
      <c r="G257" s="311" t="str">
        <f aca="false">VLOOKUP($A257,'Privacy Analyst Evaluation'!$A$46:$K$120,7,0)&amp;""</f>
        <v>No</v>
      </c>
      <c r="H257" s="311" t="str">
        <f aca="false">VLOOKUP($A257,'Privacy Analyst Evaluation'!$A$46:$K$120,8,0)&amp;""</f>
        <v/>
      </c>
      <c r="I257" s="311" t="str">
        <f aca="false">VLOOKUP($A257,'Privacy Analyst Evaluation'!$A$46:$K$120,9,0)&amp;""</f>
        <v>Minor Importance</v>
      </c>
      <c r="J257" s="311" t="str">
        <f aca="false">VLOOKUP($A257,'Privacy Analyst Evaluation'!$A$46:$K$120,10,0)&amp;""</f>
        <v/>
      </c>
      <c r="K257" s="311" t="n">
        <f aca="false">IF($I257="Critical Importance",20,IF($I257="Minor Importance",5,10))</f>
        <v>5</v>
      </c>
      <c r="L257" s="283" t="n">
        <f aca="false">IF($E257="Not Scored", "N/A",IF(AND($D257='Auto Responses'!$J$27,$H257=""),"N/A",IF(AND($D257='Auto Responses'!$J$27,$H257='Auto Responses'!$J$7),1,IF(AND($D257='Auto Responses'!$J$27,$H257='Auto Responses'!$J$8),0,IF(OR($F257=$G257,$H257='Auto Responses'!$J$7),1,0)))))</f>
        <v>1</v>
      </c>
      <c r="M257" s="311" t="str">
        <f aca="false">VLOOKUP($A257,'Privacy Analyst Evaluation'!$A$46:$K$120,10,0)&amp;""</f>
        <v/>
      </c>
      <c r="N257" s="311" t="n">
        <f aca="false">IF($J257="Critical Importance",1,IF(AND($J257="",$I257="Critical Importance"),1,0))</f>
        <v>0</v>
      </c>
      <c r="O257" s="283" t="str">
        <f aca="false">IF(OR($E257="Not Scored",$F$24="No"),"N/A",IF($J257="",$K257,IF($J257="Minor Importance",5,IF($J257="Standard Importance",10,IF($J257="Critical Importance",20,0)))))</f>
        <v>N/A</v>
      </c>
      <c r="P257" s="283" t="str">
        <f aca="false">IF(OR($O257="N/A",$L257="N/A"),"N/A",$O257*$L257)</f>
        <v>N/A</v>
      </c>
      <c r="Q257" s="283" t="n">
        <f aca="false">IF(M257="TRUE",1,0)</f>
        <v>0</v>
      </c>
      <c r="R257" s="283" t="n">
        <f aca="false">R256+Q257</f>
        <v>0</v>
      </c>
      <c r="S257" s="283" t="n">
        <f aca="false">IF(Q257=0,0,R257)</f>
        <v>0</v>
      </c>
      <c r="T257" s="283" t="n">
        <f aca="false">IF(N257=1,1,0)</f>
        <v>0</v>
      </c>
      <c r="U257" s="283" t="n">
        <f aca="false">U256+T257</f>
        <v>68</v>
      </c>
      <c r="V257" s="283" t="n">
        <f aca="false">IF(T257=0,0,U257)</f>
        <v>0</v>
      </c>
    </row>
    <row r="258" customFormat="false" ht="26.85" hidden="false" customHeight="false" outlineLevel="0" collapsed="false">
      <c r="A258" s="311" t="str">
        <f aca="false">Questions!$A258</f>
        <v>PDAT-05</v>
      </c>
      <c r="B258" s="311" t="str">
        <f aca="false">LEFT(A258,4)</f>
        <v>PDAT</v>
      </c>
      <c r="C258" s="311" t="str">
        <f aca="false">VLOOKUP($A258,Questions!$A$3:$L$333,2,0)&amp;""</f>
        <v>Do you capture device information (e.g., IP address, MAC address)?</v>
      </c>
      <c r="D258" s="311" t="str">
        <f aca="false">VLOOKUP($A258,Questions!$A$3:$L$333,11,0)&amp;""</f>
        <v/>
      </c>
      <c r="E258" s="311" t="str">
        <f aca="false">VLOOKUP($A258,Questions!$A$3:$L$333,12,0)&amp;""</f>
        <v>Privacy</v>
      </c>
      <c r="F258" s="311" t="str">
        <f aca="false">VLOOKUP($A258,'Privacy Analyst Evaluation'!$A$46:$K$120,3,0)&amp;""</f>
        <v>no</v>
      </c>
      <c r="G258" s="311" t="str">
        <f aca="false">VLOOKUP($A258,'Privacy Analyst Evaluation'!$A$46:$K$120,7,0)&amp;""</f>
        <v>No</v>
      </c>
      <c r="H258" s="311" t="str">
        <f aca="false">VLOOKUP($A258,'Privacy Analyst Evaluation'!$A$46:$K$120,8,0)&amp;""</f>
        <v/>
      </c>
      <c r="I258" s="311" t="str">
        <f aca="false">VLOOKUP($A258,'Privacy Analyst Evaluation'!$A$46:$K$120,9,0)&amp;""</f>
        <v>Minor Importance</v>
      </c>
      <c r="J258" s="311" t="str">
        <f aca="false">VLOOKUP($A258,'Privacy Analyst Evaluation'!$A$46:$K$120,10,0)&amp;""</f>
        <v/>
      </c>
      <c r="K258" s="311" t="n">
        <f aca="false">IF($I258="Critical Importance",20,IF($I258="Minor Importance",5,10))</f>
        <v>5</v>
      </c>
      <c r="L258" s="283" t="n">
        <f aca="false">IF($E258="Not Scored", "N/A",IF(AND($D258='Auto Responses'!$J$27,$H258=""),"N/A",IF(AND($D258='Auto Responses'!$J$27,$H258='Auto Responses'!$J$7),1,IF(AND($D258='Auto Responses'!$J$27,$H258='Auto Responses'!$J$8),0,IF(OR($F258=$G258,$H258='Auto Responses'!$J$7),1,0)))))</f>
        <v>1</v>
      </c>
      <c r="M258" s="311" t="str">
        <f aca="false">VLOOKUP($A258,'Privacy Analyst Evaluation'!$A$46:$K$120,10,0)&amp;""</f>
        <v/>
      </c>
      <c r="N258" s="311" t="n">
        <f aca="false">IF($J258="Critical Importance",1,IF(AND($J258="",$I258="Critical Importance"),1,0))</f>
        <v>0</v>
      </c>
      <c r="O258" s="283" t="str">
        <f aca="false">IF(OR($E258="Not Scored",$F$24="No"),"N/A",IF($J258="",$K258,IF($J258="Minor Importance",5,IF($J258="Standard Importance",10,IF($J258="Critical Importance",20,0)))))</f>
        <v>N/A</v>
      </c>
      <c r="P258" s="283" t="str">
        <f aca="false">IF(OR($O258="N/A",$L258="N/A"),"N/A",$O258*$L258)</f>
        <v>N/A</v>
      </c>
      <c r="Q258" s="283" t="n">
        <f aca="false">IF(M258="TRUE",1,0)</f>
        <v>0</v>
      </c>
      <c r="R258" s="283" t="n">
        <f aca="false">R257+Q258</f>
        <v>0</v>
      </c>
      <c r="S258" s="283" t="n">
        <f aca="false">IF(Q258=0,0,R258)</f>
        <v>0</v>
      </c>
      <c r="T258" s="283" t="n">
        <f aca="false">IF(N258=1,1,0)</f>
        <v>0</v>
      </c>
      <c r="U258" s="283" t="n">
        <f aca="false">U257+T258</f>
        <v>68</v>
      </c>
      <c r="V258" s="283" t="n">
        <f aca="false">IF(T258=0,0,U258)</f>
        <v>0</v>
      </c>
    </row>
    <row r="259" customFormat="false" ht="39.55" hidden="false" customHeight="false" outlineLevel="0" collapsed="false">
      <c r="A259" s="311" t="str">
        <f aca="false">Questions!$A259</f>
        <v>PDAT-06</v>
      </c>
      <c r="B259" s="311" t="str">
        <f aca="false">LEFT(A259,4)</f>
        <v>PDAT</v>
      </c>
      <c r="C259" s="311" t="str">
        <f aca="false">VLOOKUP($A259,Questions!$A$3:$L$333,2,0)&amp;""</f>
        <v>Does any part of this service/project involve a web/app tracking component (e.g., use of web-tracking pixels, cookies)?</v>
      </c>
      <c r="D259" s="311" t="str">
        <f aca="false">VLOOKUP($A259,Questions!$A$3:$L$333,11,0)&amp;""</f>
        <v/>
      </c>
      <c r="E259" s="311" t="str">
        <f aca="false">VLOOKUP($A259,Questions!$A$3:$L$333,12,0)&amp;""</f>
        <v>Privacy</v>
      </c>
      <c r="F259" s="311" t="str">
        <f aca="false">VLOOKUP($A259,'Privacy Analyst Evaluation'!$A$46:$K$120,3,0)&amp;""</f>
        <v>no</v>
      </c>
      <c r="G259" s="311" t="str">
        <f aca="false">VLOOKUP($A259,'Privacy Analyst Evaluation'!$A$46:$K$120,7,0)&amp;""</f>
        <v>No</v>
      </c>
      <c r="H259" s="311" t="str">
        <f aca="false">VLOOKUP($A259,'Privacy Analyst Evaluation'!$A$46:$K$120,8,0)&amp;""</f>
        <v/>
      </c>
      <c r="I259" s="311" t="str">
        <f aca="false">VLOOKUP($A259,'Privacy Analyst Evaluation'!$A$46:$K$120,9,0)&amp;""</f>
        <v>Minor Importance</v>
      </c>
      <c r="J259" s="311" t="str">
        <f aca="false">VLOOKUP($A259,'Privacy Analyst Evaluation'!$A$46:$K$120,10,0)&amp;""</f>
        <v/>
      </c>
      <c r="K259" s="311" t="n">
        <f aca="false">IF($I259="Critical Importance",20,IF($I259="Minor Importance",5,10))</f>
        <v>5</v>
      </c>
      <c r="L259" s="283" t="n">
        <f aca="false">IF($E259="Not Scored", "N/A",IF(AND($D259='Auto Responses'!$J$27,$H259=""),"N/A",IF(AND($D259='Auto Responses'!$J$27,$H259='Auto Responses'!$J$7),1,IF(AND($D259='Auto Responses'!$J$27,$H259='Auto Responses'!$J$8),0,IF(OR($F259=$G259,$H259='Auto Responses'!$J$7),1,0)))))</f>
        <v>1</v>
      </c>
      <c r="M259" s="311" t="str">
        <f aca="false">VLOOKUP($A259,'Privacy Analyst Evaluation'!$A$46:$K$120,10,0)&amp;""</f>
        <v/>
      </c>
      <c r="N259" s="311" t="n">
        <f aca="false">IF($J259="Critical Importance",1,IF(AND($J259="",$I259="Critical Importance"),1,0))</f>
        <v>0</v>
      </c>
      <c r="O259" s="283" t="str">
        <f aca="false">IF(OR($E259="Not Scored",$F$24="No"),"N/A",IF($J259="",$K259,IF($J259="Minor Importance",5,IF($J259="Standard Importance",10,IF($J259="Critical Importance",20,0)))))</f>
        <v>N/A</v>
      </c>
      <c r="P259" s="283" t="str">
        <f aca="false">IF(OR($O259="N/A",$L259="N/A"),"N/A",$O259*$L259)</f>
        <v>N/A</v>
      </c>
      <c r="Q259" s="283" t="n">
        <f aca="false">IF(M259="TRUE",1,0)</f>
        <v>0</v>
      </c>
      <c r="R259" s="283" t="n">
        <f aca="false">R258+Q259</f>
        <v>0</v>
      </c>
      <c r="S259" s="283" t="n">
        <f aca="false">IF(Q259=0,0,R259)</f>
        <v>0</v>
      </c>
      <c r="T259" s="283" t="n">
        <f aca="false">IF(N259=1,1,0)</f>
        <v>0</v>
      </c>
      <c r="U259" s="283" t="n">
        <f aca="false">U258+T259</f>
        <v>68</v>
      </c>
      <c r="V259" s="283" t="n">
        <f aca="false">IF(T259=0,0,U259)</f>
        <v>0</v>
      </c>
    </row>
    <row r="260" customFormat="false" ht="52.2" hidden="false" customHeight="false" outlineLevel="0" collapsed="false">
      <c r="A260" s="311" t="str">
        <f aca="false">Questions!$A260</f>
        <v>PDAT-07</v>
      </c>
      <c r="B260" s="311" t="str">
        <f aca="false">LEFT(A260,4)</f>
        <v>PDAT</v>
      </c>
      <c r="C260" s="311" t="str">
        <f aca="false">VLOOKUP($A260,Questions!$A$3:$L$333,2,0)&amp;""</f>
        <v>Does your staff (or a third party) have access to institutional data (e.g., financial, PHI, or other sensitive information) through any means?</v>
      </c>
      <c r="D260" s="311" t="str">
        <f aca="false">VLOOKUP($A260,Questions!$A$3:$L$333,11,0)&amp;""</f>
        <v/>
      </c>
      <c r="E260" s="311" t="str">
        <f aca="false">VLOOKUP($A260,Questions!$A$3:$L$333,12,0)&amp;""</f>
        <v>Privacy</v>
      </c>
      <c r="F260" s="311" t="str">
        <f aca="false">VLOOKUP($A260,'Privacy Analyst Evaluation'!$A$46:$K$120,3,0)&amp;""</f>
        <v>no</v>
      </c>
      <c r="G260" s="311" t="str">
        <f aca="false">VLOOKUP($A260,'Privacy Analyst Evaluation'!$A$46:$K$120,7,0)&amp;""</f>
        <v>No</v>
      </c>
      <c r="H260" s="311" t="str">
        <f aca="false">VLOOKUP($A260,'Privacy Analyst Evaluation'!$A$46:$K$120,8,0)&amp;""</f>
        <v/>
      </c>
      <c r="I260" s="311" t="str">
        <f aca="false">VLOOKUP($A260,'Privacy Analyst Evaluation'!$A$46:$K$120,9,0)&amp;""</f>
        <v>Minor Importance</v>
      </c>
      <c r="J260" s="311" t="str">
        <f aca="false">VLOOKUP($A260,'Privacy Analyst Evaluation'!$A$46:$K$120,10,0)&amp;""</f>
        <v/>
      </c>
      <c r="K260" s="311" t="n">
        <f aca="false">IF($I260="Critical Importance",20,IF($I260="Minor Importance",5,10))</f>
        <v>5</v>
      </c>
      <c r="L260" s="283" t="n">
        <f aca="false">IF($E260="Not Scored", "N/A",IF(AND($D260='Auto Responses'!$J$27,$H260=""),"N/A",IF(AND($D260='Auto Responses'!$J$27,$H260='Auto Responses'!$J$7),1,IF(AND($D260='Auto Responses'!$J$27,$H260='Auto Responses'!$J$8),0,IF(OR($F260=$G260,$H260='Auto Responses'!$J$7),1,0)))))</f>
        <v>1</v>
      </c>
      <c r="M260" s="311" t="str">
        <f aca="false">VLOOKUP($A260,'Privacy Analyst Evaluation'!$A$46:$K$120,10,0)&amp;""</f>
        <v/>
      </c>
      <c r="N260" s="311" t="n">
        <f aca="false">IF($J260="Critical Importance",1,IF(AND($J260="",$I260="Critical Importance"),1,0))</f>
        <v>0</v>
      </c>
      <c r="O260" s="283" t="str">
        <f aca="false">IF(OR($E260="Not Scored",$F$24="No"),"N/A",IF($J260="",$K260,IF($J260="Minor Importance",5,IF($J260="Standard Importance",10,IF($J260="Critical Importance",20,0)))))</f>
        <v>N/A</v>
      </c>
      <c r="P260" s="283" t="str">
        <f aca="false">IF(OR($O260="N/A",$L260="N/A"),"N/A",$O260*$L260)</f>
        <v>N/A</v>
      </c>
      <c r="Q260" s="283" t="n">
        <f aca="false">IF(M260="TRUE",1,0)</f>
        <v>0</v>
      </c>
      <c r="R260" s="283" t="n">
        <f aca="false">R259+Q260</f>
        <v>0</v>
      </c>
      <c r="S260" s="283" t="n">
        <f aca="false">IF(Q260=0,0,R260)</f>
        <v>0</v>
      </c>
      <c r="T260" s="283" t="n">
        <f aca="false">IF(N260=1,1,0)</f>
        <v>0</v>
      </c>
      <c r="U260" s="283" t="n">
        <f aca="false">U259+T260</f>
        <v>68</v>
      </c>
      <c r="V260" s="283" t="n">
        <f aca="false">IF(T260=0,0,U260)</f>
        <v>0</v>
      </c>
    </row>
    <row r="261" customFormat="false" ht="39.55" hidden="false" customHeight="false" outlineLevel="0" collapsed="false">
      <c r="A261" s="311" t="str">
        <f aca="false">Questions!$A261</f>
        <v>PDAT-08</v>
      </c>
      <c r="B261" s="311" t="str">
        <f aca="false">LEFT(A261,4)</f>
        <v>PDAT</v>
      </c>
      <c r="C261" s="311" t="str">
        <f aca="false">VLOOKUP($A261,Questions!$A$3:$L$333,2,0)&amp;""</f>
        <v>Will you handle personal data in a manner compliant with all relevant laws, regulations, and applicable institution policies?</v>
      </c>
      <c r="D261" s="311" t="str">
        <f aca="false">VLOOKUP($A261,Questions!$A$3:$L$333,11,0)&amp;""</f>
        <v>Neutral until evaluated</v>
      </c>
      <c r="E261" s="311" t="str">
        <f aca="false">VLOOKUP($A261,Questions!$A$3:$L$333,12,0)&amp;""</f>
        <v>Not scored</v>
      </c>
      <c r="F261" s="311" t="str">
        <f aca="false">VLOOKUP($A261,'Privacy Analyst Evaluation'!$A$46:$K$120,3,0)&amp;""</f>
        <v>no</v>
      </c>
      <c r="G261" s="311" t="str">
        <f aca="false">VLOOKUP($A261,'Privacy Analyst Evaluation'!$A$46:$K$120,7,0)&amp;""</f>
        <v>Yes</v>
      </c>
      <c r="H261" s="311" t="str">
        <f aca="false">VLOOKUP($A261,'Privacy Analyst Evaluation'!$A$46:$K$120,8,0)&amp;""</f>
        <v/>
      </c>
      <c r="I261" s="311" t="str">
        <f aca="false">VLOOKUP($A261,'Privacy Analyst Evaluation'!$A$46:$K$120,9,0)&amp;""</f>
        <v>Minor Importance</v>
      </c>
      <c r="J261" s="311" t="str">
        <f aca="false">VLOOKUP($A261,'Privacy Analyst Evaluation'!$A$46:$K$120,10,0)&amp;""</f>
        <v/>
      </c>
      <c r="K261" s="311" t="n">
        <f aca="false">IF($I261="Critical Importance",20,IF($I261="Minor Importance",5,10))</f>
        <v>5</v>
      </c>
      <c r="L261" s="283" t="str">
        <f aca="false">IF($E261="Not Scored", "N/A",IF(AND($D261='Auto Responses'!$J$27,$H261=""),"N/A",IF(AND($D261='Auto Responses'!$J$27,$H261='Auto Responses'!$J$7),1,IF(AND($D261='Auto Responses'!$J$27,$H261='Auto Responses'!$J$8),0,IF(OR($F261=$G261,$H261='Auto Responses'!$J$7),1,0)))))</f>
        <v>N/A</v>
      </c>
      <c r="M261" s="311" t="str">
        <f aca="false">VLOOKUP($A261,'Privacy Analyst Evaluation'!$A$46:$K$120,10,0)&amp;""</f>
        <v/>
      </c>
      <c r="N261" s="311" t="n">
        <f aca="false">IF($J261="Critical Importance",1,IF(AND($J261="",$I261="Critical Importance"),1,0))</f>
        <v>0</v>
      </c>
      <c r="O261" s="283" t="str">
        <f aca="false">IF(OR($E261="Not Scored",$F$24="No"),"N/A",IF($J261="",$K261,IF($J261="Minor Importance",5,IF($J261="Standard Importance",10,IF($J261="Critical Importance",20,0)))))</f>
        <v>N/A</v>
      </c>
      <c r="P261" s="283" t="str">
        <f aca="false">IF(OR($O261="N/A",$L261="N/A"),"N/A",$O261*$L261)</f>
        <v>N/A</v>
      </c>
      <c r="Q261" s="283" t="n">
        <f aca="false">IF(M261="TRUE",1,0)</f>
        <v>0</v>
      </c>
      <c r="R261" s="283" t="n">
        <f aca="false">R260+Q261</f>
        <v>0</v>
      </c>
      <c r="S261" s="283" t="n">
        <f aca="false">IF(Q261=0,0,R261)</f>
        <v>0</v>
      </c>
      <c r="T261" s="283" t="n">
        <f aca="false">IF(N261=1,1,0)</f>
        <v>0</v>
      </c>
      <c r="U261" s="283" t="n">
        <f aca="false">U260+T261</f>
        <v>68</v>
      </c>
      <c r="V261" s="283" t="n">
        <f aca="false">IF(T261=0,0,U261)</f>
        <v>0</v>
      </c>
    </row>
    <row r="262" customFormat="false" ht="26.85" hidden="false" customHeight="false" outlineLevel="0" collapsed="false">
      <c r="A262" s="311" t="str">
        <f aca="false">Questions!$A262</f>
        <v>PRPO-01</v>
      </c>
      <c r="B262" s="311" t="str">
        <f aca="false">LEFT(A262,4)</f>
        <v>PRPO</v>
      </c>
      <c r="C262" s="311" t="str">
        <f aca="false">VLOOKUP($A262,Questions!$A$3:$L$333,2,0)&amp;""</f>
        <v>Do you have a documented privacy management process?</v>
      </c>
      <c r="D262" s="311" t="str">
        <f aca="false">VLOOKUP($A262,Questions!$A$3:$L$333,11,0)&amp;""</f>
        <v/>
      </c>
      <c r="E262" s="311" t="str">
        <f aca="false">VLOOKUP($A262,Questions!$A$3:$L$333,12,0)&amp;""</f>
        <v>Privacy</v>
      </c>
      <c r="F262" s="311" t="str">
        <f aca="false">VLOOKUP($A262,'Privacy Analyst Evaluation'!$A$46:$K$120,3,0)&amp;""</f>
        <v>no</v>
      </c>
      <c r="G262" s="311" t="str">
        <f aca="false">VLOOKUP($A262,'Privacy Analyst Evaluation'!$A$46:$K$120,7,0)&amp;""</f>
        <v>Yes</v>
      </c>
      <c r="H262" s="311" t="str">
        <f aca="false">VLOOKUP($A262,'Privacy Analyst Evaluation'!$A$46:$K$120,8,0)&amp;""</f>
        <v/>
      </c>
      <c r="I262" s="311" t="str">
        <f aca="false">VLOOKUP($A262,'Privacy Analyst Evaluation'!$A$46:$K$120,9,0)&amp;""</f>
        <v>Minor Importance</v>
      </c>
      <c r="J262" s="311" t="str">
        <f aca="false">VLOOKUP($A262,'Privacy Analyst Evaluation'!$A$46:$K$120,10,0)&amp;""</f>
        <v/>
      </c>
      <c r="K262" s="311" t="n">
        <f aca="false">IF($I262="Critical Importance",20,IF($I262="Minor Importance",5,10))</f>
        <v>5</v>
      </c>
      <c r="L262" s="283" t="n">
        <f aca="false">IF($E262="Not Scored", "N/A",IF(AND($D262='Auto Responses'!$J$27,$H262=""),"N/A",IF(AND($D262='Auto Responses'!$J$27,$H262='Auto Responses'!$J$7),1,IF(AND($D262='Auto Responses'!$J$27,$H262='Auto Responses'!$J$8),0,IF(OR($F262=$G262,$H262='Auto Responses'!$J$7),1,0)))))</f>
        <v>0</v>
      </c>
      <c r="M262" s="311" t="str">
        <f aca="false">VLOOKUP($A262,'Privacy Analyst Evaluation'!$A$46:$K$120,10,0)&amp;""</f>
        <v/>
      </c>
      <c r="N262" s="311" t="n">
        <f aca="false">IF($J262="Critical Importance",1,IF(AND($J262="",$I262="Critical Importance"),1,0))</f>
        <v>0</v>
      </c>
      <c r="O262" s="283" t="str">
        <f aca="false">IF(OR($E262="Not Scored",$F$24="No"),"N/A",IF($J262="",$K262,IF($J262="Minor Importance",5,IF($J262="Standard Importance",10,IF($J262="Critical Importance",20,0)))))</f>
        <v>N/A</v>
      </c>
      <c r="P262" s="283" t="str">
        <f aca="false">IF(OR($O262="N/A",$L262="N/A"),"N/A",$O262*$L262)</f>
        <v>N/A</v>
      </c>
      <c r="Q262" s="283" t="n">
        <f aca="false">IF(M262="TRUE",1,0)</f>
        <v>0</v>
      </c>
      <c r="R262" s="283" t="n">
        <f aca="false">R261+Q262</f>
        <v>0</v>
      </c>
      <c r="S262" s="283" t="n">
        <f aca="false">IF(Q262=0,0,R262)</f>
        <v>0</v>
      </c>
      <c r="T262" s="283" t="n">
        <f aca="false">IF(N262=1,1,0)</f>
        <v>0</v>
      </c>
      <c r="U262" s="283" t="n">
        <f aca="false">U261+T262</f>
        <v>68</v>
      </c>
      <c r="V262" s="283" t="n">
        <f aca="false">IF(T262=0,0,U262)</f>
        <v>0</v>
      </c>
    </row>
    <row r="263" customFormat="false" ht="26.85" hidden="false" customHeight="false" outlineLevel="0" collapsed="false">
      <c r="A263" s="311" t="str">
        <f aca="false">Questions!$A263</f>
        <v>PRPO-02</v>
      </c>
      <c r="B263" s="311" t="str">
        <f aca="false">LEFT(A263,4)</f>
        <v>PRPO</v>
      </c>
      <c r="C263" s="311" t="str">
        <f aca="false">VLOOKUP($A263,Questions!$A$3:$L$333,2,0)&amp;""</f>
        <v>Are privacy principles designed into the product lifecycle (i.e., privacy-by-design)?</v>
      </c>
      <c r="D263" s="311" t="str">
        <f aca="false">VLOOKUP($A263,Questions!$A$3:$L$333,11,0)&amp;""</f>
        <v/>
      </c>
      <c r="E263" s="311" t="str">
        <f aca="false">VLOOKUP($A263,Questions!$A$3:$L$333,12,0)&amp;""</f>
        <v>Privacy</v>
      </c>
      <c r="F263" s="311" t="str">
        <f aca="false">VLOOKUP($A263,'Privacy Analyst Evaluation'!$A$46:$K$120,3,0)&amp;""</f>
        <v>No</v>
      </c>
      <c r="G263" s="311" t="str">
        <f aca="false">VLOOKUP($A263,'Privacy Analyst Evaluation'!$A$46:$K$120,7,0)&amp;""</f>
        <v>Yes</v>
      </c>
      <c r="H263" s="311" t="str">
        <f aca="false">VLOOKUP($A263,'Privacy Analyst Evaluation'!$A$46:$K$120,8,0)&amp;""</f>
        <v/>
      </c>
      <c r="I263" s="311" t="str">
        <f aca="false">VLOOKUP($A263,'Privacy Analyst Evaluation'!$A$46:$K$120,9,0)&amp;""</f>
        <v>Minor Importance</v>
      </c>
      <c r="J263" s="311" t="str">
        <f aca="false">VLOOKUP($A263,'Privacy Analyst Evaluation'!$A$46:$K$120,10,0)&amp;""</f>
        <v/>
      </c>
      <c r="K263" s="311" t="n">
        <f aca="false">IF($I263="Critical Importance",20,IF($I263="Minor Importance",5,10))</f>
        <v>5</v>
      </c>
      <c r="L263" s="283" t="n">
        <f aca="false">IF($E263="Not Scored", "N/A",IF(AND($D263='Auto Responses'!$J$27,$H263=""),"N/A",IF(AND($D263='Auto Responses'!$J$27,$H263='Auto Responses'!$J$7),1,IF(AND($D263='Auto Responses'!$J$27,$H263='Auto Responses'!$J$8),0,IF(OR($F263=$G263,$H263='Auto Responses'!$J$7),1,0)))))</f>
        <v>0</v>
      </c>
      <c r="M263" s="311" t="str">
        <f aca="false">VLOOKUP($A263,'Privacy Analyst Evaluation'!$A$46:$K$120,10,0)&amp;""</f>
        <v/>
      </c>
      <c r="N263" s="311" t="n">
        <f aca="false">IF($J263="Critical Importance",1,IF(AND($J263="",$I263="Critical Importance"),1,0))</f>
        <v>0</v>
      </c>
      <c r="O263" s="283" t="str">
        <f aca="false">IF(OR($E263="Not Scored",$F$24="No"),"N/A",IF($J263="",$K263,IF($J263="Minor Importance",5,IF($J263="Standard Importance",10,IF($J263="Critical Importance",20,0)))))</f>
        <v>N/A</v>
      </c>
      <c r="P263" s="283" t="str">
        <f aca="false">IF(OR($O263="N/A",$L263="N/A"),"N/A",$O263*$L263)</f>
        <v>N/A</v>
      </c>
      <c r="Q263" s="283" t="n">
        <f aca="false">IF(M263="TRUE",1,0)</f>
        <v>0</v>
      </c>
      <c r="R263" s="283" t="n">
        <f aca="false">R262+Q263</f>
        <v>0</v>
      </c>
      <c r="S263" s="283" t="n">
        <f aca="false">IF(Q263=0,0,R263)</f>
        <v>0</v>
      </c>
      <c r="T263" s="283" t="n">
        <f aca="false">IF(N263=1,1,0)</f>
        <v>0</v>
      </c>
      <c r="U263" s="283" t="n">
        <f aca="false">U262+T263</f>
        <v>68</v>
      </c>
      <c r="V263" s="283" t="n">
        <f aca="false">IF(T263=0,0,U263)</f>
        <v>0</v>
      </c>
    </row>
    <row r="264" customFormat="false" ht="26.85" hidden="false" customHeight="false" outlineLevel="0" collapsed="false">
      <c r="A264" s="311" t="str">
        <f aca="false">Questions!$A264</f>
        <v>PRPO-03</v>
      </c>
      <c r="B264" s="311" t="str">
        <f aca="false">LEFT(A264,4)</f>
        <v>PRPO</v>
      </c>
      <c r="C264" s="311" t="str">
        <f aca="false">VLOOKUP($A264,Questions!$A$3:$L$333,2,0)&amp;""</f>
        <v>Will you comply with applicable breach notification laws?</v>
      </c>
      <c r="D264" s="311" t="str">
        <f aca="false">VLOOKUP($A264,Questions!$A$3:$L$333,11,0)&amp;""</f>
        <v/>
      </c>
      <c r="E264" s="311" t="str">
        <f aca="false">VLOOKUP($A264,Questions!$A$3:$L$333,12,0)&amp;""</f>
        <v>Privacy</v>
      </c>
      <c r="F264" s="311" t="str">
        <f aca="false">VLOOKUP($A264,'Privacy Analyst Evaluation'!$A$46:$K$120,3,0)&amp;""</f>
        <v>No</v>
      </c>
      <c r="G264" s="311" t="str">
        <f aca="false">VLOOKUP($A264,'Privacy Analyst Evaluation'!$A$46:$K$120,7,0)&amp;""</f>
        <v>Yes</v>
      </c>
      <c r="H264" s="311" t="str">
        <f aca="false">VLOOKUP($A264,'Privacy Analyst Evaluation'!$A$46:$K$120,8,0)&amp;""</f>
        <v/>
      </c>
      <c r="I264" s="311" t="str">
        <f aca="false">VLOOKUP($A264,'Privacy Analyst Evaluation'!$A$46:$K$120,9,0)&amp;""</f>
        <v>Standard Importance</v>
      </c>
      <c r="J264" s="311" t="str">
        <f aca="false">VLOOKUP($A264,'Privacy Analyst Evaluation'!$A$46:$K$120,10,0)&amp;""</f>
        <v/>
      </c>
      <c r="K264" s="311" t="n">
        <f aca="false">IF($I264="Critical Importance",20,IF($I264="Minor Importance",5,10))</f>
        <v>10</v>
      </c>
      <c r="L264" s="283" t="n">
        <f aca="false">IF($E264="Not Scored", "N/A",IF(AND($D264='Auto Responses'!$J$27,$H264=""),"N/A",IF(AND($D264='Auto Responses'!$J$27,$H264='Auto Responses'!$J$7),1,IF(AND($D264='Auto Responses'!$J$27,$H264='Auto Responses'!$J$8),0,IF(OR($F264=$G264,$H264='Auto Responses'!$J$7),1,0)))))</f>
        <v>0</v>
      </c>
      <c r="M264" s="311" t="str">
        <f aca="false">VLOOKUP($A264,'Privacy Analyst Evaluation'!$A$46:$K$120,10,0)&amp;""</f>
        <v/>
      </c>
      <c r="N264" s="311" t="n">
        <f aca="false">IF($J264="Critical Importance",1,IF(AND($J264="",$I264="Critical Importance"),1,0))</f>
        <v>0</v>
      </c>
      <c r="O264" s="283" t="str">
        <f aca="false">IF(OR($E264="Not Scored",$F$24="No"),"N/A",IF($J264="",$K264,IF($J264="Minor Importance",5,IF($J264="Standard Importance",10,IF($J264="Critical Importance",20,0)))))</f>
        <v>N/A</v>
      </c>
      <c r="P264" s="283" t="str">
        <f aca="false">IF(OR($O264="N/A",$L264="N/A"),"N/A",$O264*$L264)</f>
        <v>N/A</v>
      </c>
      <c r="Q264" s="283" t="n">
        <f aca="false">IF(M264="TRUE",1,0)</f>
        <v>0</v>
      </c>
      <c r="R264" s="283" t="n">
        <f aca="false">R263+Q264</f>
        <v>0</v>
      </c>
      <c r="S264" s="283" t="n">
        <f aca="false">IF(Q264=0,0,R264)</f>
        <v>0</v>
      </c>
      <c r="T264" s="283" t="n">
        <f aca="false">IF(N264=1,1,0)</f>
        <v>0</v>
      </c>
      <c r="U264" s="283" t="n">
        <f aca="false">U263+T264</f>
        <v>68</v>
      </c>
      <c r="V264" s="283" t="n">
        <f aca="false">IF(T264=0,0,U264)</f>
        <v>0</v>
      </c>
    </row>
    <row r="265" customFormat="false" ht="26.85" hidden="false" customHeight="false" outlineLevel="0" collapsed="false">
      <c r="A265" s="311" t="str">
        <f aca="false">Questions!$A265</f>
        <v>PRPO-04</v>
      </c>
      <c r="B265" s="311" t="str">
        <f aca="false">LEFT(A265,4)</f>
        <v>PRPO</v>
      </c>
      <c r="C265" s="311" t="str">
        <f aca="false">VLOOKUP($A265,Questions!$A$3:$L$333,2,0)&amp;""</f>
        <v>Will you comply with the institution's policies regarding user privacy and data protection?</v>
      </c>
      <c r="D265" s="311" t="str">
        <f aca="false">VLOOKUP($A265,Questions!$A$3:$L$333,11,0)&amp;""</f>
        <v/>
      </c>
      <c r="E265" s="311" t="str">
        <f aca="false">VLOOKUP($A265,Questions!$A$3:$L$333,12,0)&amp;""</f>
        <v>Privacy</v>
      </c>
      <c r="F265" s="311" t="str">
        <f aca="false">VLOOKUP($A265,'Privacy Analyst Evaluation'!$A$46:$K$120,3,0)&amp;""</f>
        <v>No</v>
      </c>
      <c r="G265" s="311" t="str">
        <f aca="false">VLOOKUP($A265,'Privacy Analyst Evaluation'!$A$46:$K$120,7,0)&amp;""</f>
        <v>Yes</v>
      </c>
      <c r="H265" s="311" t="str">
        <f aca="false">VLOOKUP($A265,'Privacy Analyst Evaluation'!$A$46:$K$120,8,0)&amp;""</f>
        <v/>
      </c>
      <c r="I265" s="311" t="str">
        <f aca="false">VLOOKUP($A265,'Privacy Analyst Evaluation'!$A$46:$K$120,9,0)&amp;""</f>
        <v>Minor Importance</v>
      </c>
      <c r="J265" s="311" t="str">
        <f aca="false">VLOOKUP($A265,'Privacy Analyst Evaluation'!$A$46:$K$120,10,0)&amp;""</f>
        <v/>
      </c>
      <c r="K265" s="311" t="n">
        <f aca="false">IF($I265="Critical Importance",20,IF($I265="Minor Importance",5,10))</f>
        <v>5</v>
      </c>
      <c r="L265" s="283" t="n">
        <f aca="false">IF($E265="Not Scored", "N/A",IF(AND($D265='Auto Responses'!$J$27,$H265=""),"N/A",IF(AND($D265='Auto Responses'!$J$27,$H265='Auto Responses'!$J$7),1,IF(AND($D265='Auto Responses'!$J$27,$H265='Auto Responses'!$J$8),0,IF(OR($F265=$G265,$H265='Auto Responses'!$J$7),1,0)))))</f>
        <v>0</v>
      </c>
      <c r="M265" s="311" t="str">
        <f aca="false">VLOOKUP($A265,'Privacy Analyst Evaluation'!$A$46:$K$120,10,0)&amp;""</f>
        <v/>
      </c>
      <c r="N265" s="311" t="n">
        <f aca="false">IF($J265="Critical Importance",1,IF(AND($J265="",$I265="Critical Importance"),1,0))</f>
        <v>0</v>
      </c>
      <c r="O265" s="283" t="str">
        <f aca="false">IF(OR($E265="Not Scored",$F$24="No"),"N/A",IF($J265="",$K265,IF($J265="Minor Importance",5,IF($J265="Standard Importance",10,IF($J265="Critical Importance",20,0)))))</f>
        <v>N/A</v>
      </c>
      <c r="P265" s="283" t="str">
        <f aca="false">IF(OR($O265="N/A",$L265="N/A"),"N/A",$O265*$L265)</f>
        <v>N/A</v>
      </c>
      <c r="Q265" s="283" t="n">
        <f aca="false">IF(M265="TRUE",1,0)</f>
        <v>0</v>
      </c>
      <c r="R265" s="283" t="n">
        <f aca="false">R264+Q265</f>
        <v>0</v>
      </c>
      <c r="S265" s="283" t="n">
        <f aca="false">IF(Q265=0,0,R265)</f>
        <v>0</v>
      </c>
      <c r="T265" s="283" t="n">
        <f aca="false">IF(N265=1,1,0)</f>
        <v>0</v>
      </c>
      <c r="U265" s="283" t="n">
        <f aca="false">U264+T265</f>
        <v>68</v>
      </c>
      <c r="V265" s="283" t="n">
        <f aca="false">IF(T265=0,0,U265)</f>
        <v>0</v>
      </c>
    </row>
    <row r="266" customFormat="false" ht="39.55" hidden="false" customHeight="false" outlineLevel="0" collapsed="false">
      <c r="A266" s="311" t="str">
        <f aca="false">Questions!$A266</f>
        <v>PRPO-05</v>
      </c>
      <c r="B266" s="311" t="str">
        <f aca="false">LEFT(A266,4)</f>
        <v>PRPO</v>
      </c>
      <c r="C266" s="311" t="str">
        <f aca="false">VLOOKUP($A266,Questions!$A$3:$L$333,2,0)&amp;""</f>
        <v>Is your company subject to the laws and regulations of the institution's geographic region?</v>
      </c>
      <c r="D266" s="311" t="str">
        <f aca="false">VLOOKUP($A266,Questions!$A$3:$L$333,11,0)&amp;""</f>
        <v/>
      </c>
      <c r="E266" s="311" t="str">
        <f aca="false">VLOOKUP($A266,Questions!$A$3:$L$333,12,0)&amp;""</f>
        <v>Privacy</v>
      </c>
      <c r="F266" s="311" t="str">
        <f aca="false">VLOOKUP($A266,'Privacy Analyst Evaluation'!$A$46:$K$120,3,0)&amp;""</f>
        <v>No</v>
      </c>
      <c r="G266" s="311" t="str">
        <f aca="false">VLOOKUP($A266,'Privacy Analyst Evaluation'!$A$46:$K$120,7,0)&amp;""</f>
        <v>Yes</v>
      </c>
      <c r="H266" s="311" t="str">
        <f aca="false">VLOOKUP($A266,'Privacy Analyst Evaluation'!$A$46:$K$120,8,0)&amp;""</f>
        <v/>
      </c>
      <c r="I266" s="311" t="str">
        <f aca="false">VLOOKUP($A266,'Privacy Analyst Evaluation'!$A$46:$K$120,9,0)&amp;""</f>
        <v>Minor Importance</v>
      </c>
      <c r="J266" s="311" t="str">
        <f aca="false">VLOOKUP($A266,'Privacy Analyst Evaluation'!$A$46:$K$120,10,0)&amp;""</f>
        <v/>
      </c>
      <c r="K266" s="311" t="n">
        <f aca="false">IF($I266="Critical Importance",20,IF($I266="Minor Importance",5,10))</f>
        <v>5</v>
      </c>
      <c r="L266" s="283" t="n">
        <f aca="false">IF($E266="Not Scored", "N/A",IF(AND($D266='Auto Responses'!$J$27,$H266=""),"N/A",IF(AND($D266='Auto Responses'!$J$27,$H266='Auto Responses'!$J$7),1,IF(AND($D266='Auto Responses'!$J$27,$H266='Auto Responses'!$J$8),0,IF(OR($F266=$G266,$H266='Auto Responses'!$J$7),1,0)))))</f>
        <v>0</v>
      </c>
      <c r="M266" s="311" t="str">
        <f aca="false">VLOOKUP($A266,'Privacy Analyst Evaluation'!$A$46:$K$120,10,0)&amp;""</f>
        <v/>
      </c>
      <c r="N266" s="311" t="n">
        <f aca="false">IF($J266="Critical Importance",1,IF(AND($J266="",$I266="Critical Importance"),1,0))</f>
        <v>0</v>
      </c>
      <c r="O266" s="283" t="str">
        <f aca="false">IF(OR($E266="Not Scored",$F$24="No"),"N/A",IF($J266="",$K266,IF($J266="Minor Importance",5,IF($J266="Standard Importance",10,IF($J266="Critical Importance",20,0)))))</f>
        <v>N/A</v>
      </c>
      <c r="P266" s="283" t="str">
        <f aca="false">IF(OR($O266="N/A",$L266="N/A"),"N/A",$O266*$L266)</f>
        <v>N/A</v>
      </c>
      <c r="Q266" s="283" t="n">
        <f aca="false">IF(M266="TRUE",1,0)</f>
        <v>0</v>
      </c>
      <c r="R266" s="283" t="n">
        <f aca="false">R265+Q266</f>
        <v>0</v>
      </c>
      <c r="S266" s="283" t="n">
        <f aca="false">IF(Q266=0,0,R266)</f>
        <v>0</v>
      </c>
      <c r="T266" s="283" t="n">
        <f aca="false">IF(N266=1,1,0)</f>
        <v>0</v>
      </c>
      <c r="U266" s="283" t="n">
        <f aca="false">U265+T266</f>
        <v>68</v>
      </c>
      <c r="V266" s="283" t="n">
        <f aca="false">IF(T266=0,0,U266)</f>
        <v>0</v>
      </c>
    </row>
    <row r="267" customFormat="false" ht="26.85" hidden="false" customHeight="false" outlineLevel="0" collapsed="false">
      <c r="A267" s="311" t="str">
        <f aca="false">Questions!$A267</f>
        <v>PRPO-06</v>
      </c>
      <c r="B267" s="311" t="str">
        <f aca="false">LEFT(A267,4)</f>
        <v>PRPO</v>
      </c>
      <c r="C267" s="311" t="str">
        <f aca="false">VLOOKUP($A267,Questions!$A$3:$L$333,2,0)&amp;""</f>
        <v>Do you have a privacy awareness/training program?*</v>
      </c>
      <c r="D267" s="311" t="str">
        <f aca="false">VLOOKUP($A267,Questions!$A$3:$L$333,11,0)&amp;""</f>
        <v/>
      </c>
      <c r="E267" s="311" t="str">
        <f aca="false">VLOOKUP($A267,Questions!$A$3:$L$333,12,0)&amp;""</f>
        <v>Privacy</v>
      </c>
      <c r="F267" s="311" t="str">
        <f aca="false">VLOOKUP($A267,'Privacy Analyst Evaluation'!$A$46:$K$120,3,0)&amp;""</f>
        <v>No</v>
      </c>
      <c r="G267" s="311" t="str">
        <f aca="false">VLOOKUP($A267,'Privacy Analyst Evaluation'!$A$46:$K$120,7,0)&amp;""</f>
        <v>Yes</v>
      </c>
      <c r="H267" s="311" t="str">
        <f aca="false">VLOOKUP($A267,'Privacy Analyst Evaluation'!$A$46:$K$120,8,0)&amp;""</f>
        <v/>
      </c>
      <c r="I267" s="311" t="str">
        <f aca="false">VLOOKUP($A267,'Privacy Analyst Evaluation'!$A$46:$K$120,9,0)&amp;""</f>
        <v>Critical Importance</v>
      </c>
      <c r="J267" s="311" t="str">
        <f aca="false">VLOOKUP($A267,'Privacy Analyst Evaluation'!$A$46:$K$120,10,0)&amp;""</f>
        <v/>
      </c>
      <c r="K267" s="311" t="n">
        <f aca="false">IF($I267="Critical Importance",20,IF($I267="Minor Importance",5,10))</f>
        <v>20</v>
      </c>
      <c r="L267" s="283" t="n">
        <f aca="false">IF($E267="Not Scored", "N/A",IF(AND($D267='Auto Responses'!$J$27,$H267=""),"N/A",IF(AND($D267='Auto Responses'!$J$27,$H267='Auto Responses'!$J$7),1,IF(AND($D267='Auto Responses'!$J$27,$H267='Auto Responses'!$J$8),0,IF(OR($F267=$G267,$H267='Auto Responses'!$J$7),1,0)))))</f>
        <v>0</v>
      </c>
      <c r="M267" s="311" t="str">
        <f aca="false">VLOOKUP($A267,'Privacy Analyst Evaluation'!$A$46:$K$120,10,0)&amp;""</f>
        <v/>
      </c>
      <c r="N267" s="311" t="n">
        <f aca="false">IF($J267="Critical Importance",1,IF(AND($J267="",$I267="Critical Importance"),1,0))</f>
        <v>1</v>
      </c>
      <c r="O267" s="283" t="str">
        <f aca="false">IF(OR($E267="Not Scored",$F$24="No"),"N/A",IF($J267="",$K267,IF($J267="Minor Importance",5,IF($J267="Standard Importance",10,IF($J267="Critical Importance",20,0)))))</f>
        <v>N/A</v>
      </c>
      <c r="P267" s="283" t="str">
        <f aca="false">IF(OR($O267="N/A",$L267="N/A"),"N/A",$O267*$L267)</f>
        <v>N/A</v>
      </c>
      <c r="Q267" s="283" t="n">
        <f aca="false">IF(M267="TRUE",1,0)</f>
        <v>0</v>
      </c>
      <c r="R267" s="283" t="n">
        <f aca="false">R266+Q267</f>
        <v>0</v>
      </c>
      <c r="S267" s="283" t="n">
        <f aca="false">IF(Q267=0,0,R267)</f>
        <v>0</v>
      </c>
      <c r="T267" s="283" t="n">
        <f aca="false">IF(N267=1,1,0)</f>
        <v>1</v>
      </c>
      <c r="U267" s="283" t="n">
        <f aca="false">U266+T267</f>
        <v>69</v>
      </c>
      <c r="V267" s="283" t="n">
        <f aca="false">IF(T267=0,0,U267)</f>
        <v>69</v>
      </c>
    </row>
    <row r="268" customFormat="false" ht="26.85" hidden="false" customHeight="false" outlineLevel="0" collapsed="false">
      <c r="A268" s="311" t="str">
        <f aca="false">Questions!$A268</f>
        <v>PRPO-07</v>
      </c>
      <c r="B268" s="311" t="str">
        <f aca="false">LEFT(A268,4)</f>
        <v>PRPO</v>
      </c>
      <c r="C268" s="311" t="str">
        <f aca="false">VLOOKUP($A268,Questions!$A$3:$L$333,2,0)&amp;""</f>
        <v>Is privacy awareness training mandatory for all employees?</v>
      </c>
      <c r="D268" s="311" t="str">
        <f aca="false">VLOOKUP($A268,Questions!$A$3:$L$333,11,0)&amp;""</f>
        <v/>
      </c>
      <c r="E268" s="311" t="str">
        <f aca="false">VLOOKUP($A268,Questions!$A$3:$L$333,12,0)&amp;""</f>
        <v>Privacy</v>
      </c>
      <c r="F268" s="311" t="str">
        <f aca="false">VLOOKUP($A268,'Privacy Analyst Evaluation'!$A$46:$K$120,3,0)&amp;""</f>
        <v>No</v>
      </c>
      <c r="G268" s="311" t="str">
        <f aca="false">VLOOKUP($A268,'Privacy Analyst Evaluation'!$A$46:$K$120,7,0)&amp;""</f>
        <v>Yes</v>
      </c>
      <c r="H268" s="311" t="str">
        <f aca="false">VLOOKUP($A268,'Privacy Analyst Evaluation'!$A$46:$K$120,8,0)&amp;""</f>
        <v/>
      </c>
      <c r="I268" s="311" t="str">
        <f aca="false">VLOOKUP($A268,'Privacy Analyst Evaluation'!$A$46:$K$120,9,0)&amp;""</f>
        <v>Minor Importance</v>
      </c>
      <c r="J268" s="311" t="str">
        <f aca="false">VLOOKUP($A268,'Privacy Analyst Evaluation'!$A$46:$K$120,10,0)&amp;""</f>
        <v/>
      </c>
      <c r="K268" s="311" t="n">
        <f aca="false">IF($I268="Critical Importance",20,IF($I268="Minor Importance",5,10))</f>
        <v>5</v>
      </c>
      <c r="L268" s="283" t="n">
        <f aca="false">IF($E268="Not Scored", "N/A",IF(AND($D268='Auto Responses'!$J$27,$H268=""),"N/A",IF(AND($D268='Auto Responses'!$J$27,$H268='Auto Responses'!$J$7),1,IF(AND($D268='Auto Responses'!$J$27,$H268='Auto Responses'!$J$8),0,IF(OR($F268=$G268,$H268='Auto Responses'!$J$7),1,0)))))</f>
        <v>0</v>
      </c>
      <c r="M268" s="311" t="str">
        <f aca="false">VLOOKUP($A268,'Privacy Analyst Evaluation'!$A$46:$K$120,10,0)&amp;""</f>
        <v/>
      </c>
      <c r="N268" s="311" t="n">
        <f aca="false">IF($J268="Critical Importance",1,IF(AND($J268="",$I268="Critical Importance"),1,0))</f>
        <v>0</v>
      </c>
      <c r="O268" s="283" t="str">
        <f aca="false">IF(OR($E268="Not Scored",$F$24="No"),"N/A",IF($J268="",$K268,IF($J268="Minor Importance",5,IF($J268="Standard Importance",10,IF($J268="Critical Importance",20,0)))))</f>
        <v>N/A</v>
      </c>
      <c r="P268" s="283" t="str">
        <f aca="false">IF(OR($O268="N/A",$L268="N/A"),"N/A",$O268*$L268)</f>
        <v>N/A</v>
      </c>
      <c r="Q268" s="283" t="n">
        <f aca="false">IF(M268="TRUE",1,0)</f>
        <v>0</v>
      </c>
      <c r="R268" s="283" t="n">
        <f aca="false">R267+Q268</f>
        <v>0</v>
      </c>
      <c r="S268" s="283" t="n">
        <f aca="false">IF(Q268=0,0,R268)</f>
        <v>0</v>
      </c>
      <c r="T268" s="283" t="n">
        <f aca="false">IF(N268=1,1,0)</f>
        <v>0</v>
      </c>
      <c r="U268" s="283" t="n">
        <f aca="false">U267+T268</f>
        <v>69</v>
      </c>
      <c r="V268" s="283" t="n">
        <f aca="false">IF(T268=0,0,U268)</f>
        <v>0</v>
      </c>
    </row>
    <row r="269" customFormat="false" ht="26.85" hidden="false" customHeight="false" outlineLevel="0" collapsed="false">
      <c r="A269" s="311" t="str">
        <f aca="false">Questions!$A269</f>
        <v>PRPO-08</v>
      </c>
      <c r="B269" s="311" t="str">
        <f aca="false">LEFT(A269,4)</f>
        <v>PRPO</v>
      </c>
      <c r="C269" s="311" t="str">
        <f aca="false">VLOOKUP($A269,Questions!$A$3:$L$333,2,0)&amp;""</f>
        <v>Is AI privacy and ethics awareness/training required for all employees who work with AI?</v>
      </c>
      <c r="D269" s="311" t="str">
        <f aca="false">VLOOKUP($A269,Questions!$A$3:$L$333,11,0)&amp;""</f>
        <v/>
      </c>
      <c r="E269" s="311" t="str">
        <f aca="false">VLOOKUP($A269,Questions!$A$3:$L$333,12,0)&amp;""</f>
        <v>Privacy</v>
      </c>
      <c r="F269" s="311" t="str">
        <f aca="false">VLOOKUP($A269,'Privacy Analyst Evaluation'!$A$46:$K$120,3,0)&amp;""</f>
        <v>No</v>
      </c>
      <c r="G269" s="311" t="str">
        <f aca="false">VLOOKUP($A269,'Privacy Analyst Evaluation'!$A$46:$K$120,7,0)&amp;""</f>
        <v>Yes</v>
      </c>
      <c r="H269" s="311" t="str">
        <f aca="false">VLOOKUP($A269,'Privacy Analyst Evaluation'!$A$46:$K$120,8,0)&amp;""</f>
        <v/>
      </c>
      <c r="I269" s="311" t="str">
        <f aca="false">VLOOKUP($A269,'Privacy Analyst Evaluation'!$A$46:$K$120,9,0)&amp;""</f>
        <v>Minor Importance</v>
      </c>
      <c r="J269" s="311" t="str">
        <f aca="false">VLOOKUP($A269,'Privacy Analyst Evaluation'!$A$46:$K$120,10,0)&amp;""</f>
        <v/>
      </c>
      <c r="K269" s="311" t="n">
        <f aca="false">IF($I269="Critical Importance",20,IF($I269="Minor Importance",5,10))</f>
        <v>5</v>
      </c>
      <c r="L269" s="283" t="n">
        <f aca="false">IF($E269="Not Scored", "N/A",IF(AND($D269='Auto Responses'!$J$27,$H269=""),"N/A",IF(AND($D269='Auto Responses'!$J$27,$H269='Auto Responses'!$J$7),1,IF(AND($D269='Auto Responses'!$J$27,$H269='Auto Responses'!$J$8),0,IF(OR($F269=$G269,$H269='Auto Responses'!$J$7),1,0)))))</f>
        <v>0</v>
      </c>
      <c r="M269" s="311" t="str">
        <f aca="false">VLOOKUP($A269,'Privacy Analyst Evaluation'!$A$46:$K$120,10,0)&amp;""</f>
        <v/>
      </c>
      <c r="N269" s="311" t="n">
        <f aca="false">IF($J269="Critical Importance",1,IF(AND($J269="",$I269="Critical Importance"),1,0))</f>
        <v>0</v>
      </c>
      <c r="O269" s="283" t="str">
        <f aca="false">IF(OR($E269="Not Scored",$F269="N/A",$F$24="No"),"N/A",IF($J269="",$K269,IF($J269="Minor Importance",5,IF($J269="Standard Importance",10,IF($J269="Critical Importance",20,0)))))</f>
        <v>N/A</v>
      </c>
      <c r="P269" s="283" t="str">
        <f aca="false">IF(OR($O269="N/A",$L269="N/A"),"N/A",$O269*$L269)</f>
        <v>N/A</v>
      </c>
      <c r="Q269" s="283" t="n">
        <f aca="false">IF(M269="TRUE",1,0)</f>
        <v>0</v>
      </c>
      <c r="R269" s="283" t="n">
        <f aca="false">R268+Q269</f>
        <v>0</v>
      </c>
      <c r="S269" s="283" t="n">
        <f aca="false">IF(Q269=0,0,R269)</f>
        <v>0</v>
      </c>
      <c r="T269" s="283" t="n">
        <f aca="false">IF(N269=1,1,0)</f>
        <v>0</v>
      </c>
      <c r="U269" s="283" t="n">
        <f aca="false">U268+T269</f>
        <v>69</v>
      </c>
      <c r="V269" s="283" t="n">
        <f aca="false">IF(T269=0,0,U269)</f>
        <v>0</v>
      </c>
    </row>
    <row r="270" customFormat="false" ht="39.55" hidden="false" customHeight="false" outlineLevel="0" collapsed="false">
      <c r="A270" s="311" t="str">
        <f aca="false">Questions!$A270</f>
        <v>PRPO-09</v>
      </c>
      <c r="B270" s="311" t="str">
        <f aca="false">LEFT(A270,4)</f>
        <v>PRPO</v>
      </c>
      <c r="C270" s="311" t="str">
        <f aca="false">VLOOKUP($A270,Questions!$A$3:$L$333,2,0)&amp;""</f>
        <v>Do you have any decision-making processes that are completely automated (i.e., there is no human involvement)?</v>
      </c>
      <c r="D270" s="311" t="str">
        <f aca="false">VLOOKUP($A270,Questions!$A$3:$L$333,11,0)&amp;""</f>
        <v/>
      </c>
      <c r="E270" s="311" t="str">
        <f aca="false">VLOOKUP($A270,Questions!$A$3:$L$333,12,0)&amp;""</f>
        <v>Privacy</v>
      </c>
      <c r="F270" s="311" t="str">
        <f aca="false">VLOOKUP($A270,'Privacy Analyst Evaluation'!$A$46:$K$120,3,0)&amp;""</f>
        <v>No</v>
      </c>
      <c r="G270" s="311" t="str">
        <f aca="false">VLOOKUP($A270,'Privacy Analyst Evaluation'!$A$46:$K$120,7,0)&amp;""</f>
        <v>No</v>
      </c>
      <c r="H270" s="311" t="str">
        <f aca="false">VLOOKUP($A270,'Privacy Analyst Evaluation'!$A$46:$K$120,8,0)&amp;""</f>
        <v/>
      </c>
      <c r="I270" s="311" t="str">
        <f aca="false">VLOOKUP($A270,'Privacy Analyst Evaluation'!$A$46:$K$120,9,0)&amp;""</f>
        <v>Minor Importance</v>
      </c>
      <c r="J270" s="311" t="str">
        <f aca="false">VLOOKUP($A270,'Privacy Analyst Evaluation'!$A$46:$K$120,10,0)&amp;""</f>
        <v/>
      </c>
      <c r="K270" s="311" t="n">
        <f aca="false">IF($I270="Critical Importance",20,IF($I270="Minor Importance",5,10))</f>
        <v>5</v>
      </c>
      <c r="L270" s="283" t="n">
        <f aca="false">IF($E270="Not Scored", "N/A",IF(AND($D270='Auto Responses'!$J$27,$H270=""),"N/A",IF(AND($D270='Auto Responses'!$J$27,$H270='Auto Responses'!$J$7),1,IF(AND($D270='Auto Responses'!$J$27,$H270='Auto Responses'!$J$8),0,IF(OR($F270=$G270,$H270='Auto Responses'!$J$7),1,0)))))</f>
        <v>1</v>
      </c>
      <c r="M270" s="311" t="str">
        <f aca="false">VLOOKUP($A270,'Privacy Analyst Evaluation'!$A$46:$K$120,10,0)&amp;""</f>
        <v/>
      </c>
      <c r="N270" s="311" t="n">
        <f aca="false">IF($J270="Critical Importance",1,IF(AND($J270="",$I270="Critical Importance"),1,0))</f>
        <v>0</v>
      </c>
      <c r="O270" s="283" t="str">
        <f aca="false">IF(OR($E270="Not Scored",$F$24="No"),"N/A",IF($J270="",$K270,IF($J270="Minor Importance",5,IF($J270="Standard Importance",10,IF($J270="Critical Importance",20,0)))))</f>
        <v>N/A</v>
      </c>
      <c r="P270" s="283" t="str">
        <f aca="false">IF(OR($O270="N/A",$L270="N/A"),"N/A",$O270*$L270)</f>
        <v>N/A</v>
      </c>
      <c r="Q270" s="283" t="n">
        <f aca="false">IF(M270="TRUE",1,0)</f>
        <v>0</v>
      </c>
      <c r="R270" s="283" t="n">
        <f aca="false">R269+Q270</f>
        <v>0</v>
      </c>
      <c r="S270" s="283" t="n">
        <f aca="false">IF(Q270=0,0,R270)</f>
        <v>0</v>
      </c>
      <c r="T270" s="283" t="n">
        <f aca="false">IF(N270=1,1,0)</f>
        <v>0</v>
      </c>
      <c r="U270" s="283" t="n">
        <f aca="false">U269+T270</f>
        <v>69</v>
      </c>
      <c r="V270" s="283" t="n">
        <f aca="false">IF(T270=0,0,U270)</f>
        <v>0</v>
      </c>
    </row>
    <row r="271" customFormat="false" ht="52.2" hidden="false" customHeight="false" outlineLevel="0" collapsed="false">
      <c r="A271" s="311" t="str">
        <f aca="false">Questions!$A271</f>
        <v>PRPO-10</v>
      </c>
      <c r="B271" s="311" t="str">
        <f aca="false">LEFT(A271,4)</f>
        <v>PRPO</v>
      </c>
      <c r="C271" s="311" t="str">
        <f aca="false">VLOOKUP($A271,Questions!$A$3:$L$333,2,0)&amp;""</f>
        <v>Do you have a documented process for managing automated processing, including validations, monitoring, and data subject requests?</v>
      </c>
      <c r="D271" s="311" t="str">
        <f aca="false">VLOOKUP($A271,Questions!$A$3:$L$333,11,0)&amp;""</f>
        <v/>
      </c>
      <c r="E271" s="311" t="str">
        <f aca="false">VLOOKUP($A271,Questions!$A$3:$L$333,12,0)&amp;""</f>
        <v>Privacy</v>
      </c>
      <c r="F271" s="311" t="str">
        <f aca="false">VLOOKUP($A271,'Privacy Analyst Evaluation'!$A$46:$K$120,3,0)&amp;""</f>
        <v>No</v>
      </c>
      <c r="G271" s="311" t="str">
        <f aca="false">VLOOKUP($A271,'Privacy Analyst Evaluation'!$A$46:$K$120,7,0)&amp;""</f>
        <v>Yes</v>
      </c>
      <c r="H271" s="311" t="str">
        <f aca="false">VLOOKUP($A271,'Privacy Analyst Evaluation'!$A$46:$K$120,8,0)&amp;""</f>
        <v/>
      </c>
      <c r="I271" s="311" t="str">
        <f aca="false">VLOOKUP($A271,'Privacy Analyst Evaluation'!$A$46:$K$120,9,0)&amp;""</f>
        <v>Minor Importance</v>
      </c>
      <c r="J271" s="311" t="str">
        <f aca="false">VLOOKUP($A271,'Privacy Analyst Evaluation'!$A$46:$K$120,10,0)&amp;""</f>
        <v/>
      </c>
      <c r="K271" s="311" t="n">
        <f aca="false">IF($I271="Critical Importance",20,IF($I271="Minor Importance",5,10))</f>
        <v>5</v>
      </c>
      <c r="L271" s="283" t="n">
        <f aca="false">IF($E271="Not Scored", "N/A",IF(AND($D271='Auto Responses'!$J$27,$H271=""),"N/A",IF(AND($D271='Auto Responses'!$J$27,$H271='Auto Responses'!$J$7),1,IF(AND($D271='Auto Responses'!$J$27,$H271='Auto Responses'!$J$8),0,IF(OR($F271=$G271,$H271='Auto Responses'!$J$7),1,0)))))</f>
        <v>0</v>
      </c>
      <c r="M271" s="311" t="str">
        <f aca="false">VLOOKUP($A271,'Privacy Analyst Evaluation'!$A$46:$K$120,10,0)&amp;""</f>
        <v/>
      </c>
      <c r="N271" s="311" t="n">
        <f aca="false">IF($J271="Critical Importance",1,IF(AND($J271="",$I271="Critical Importance"),1,0))</f>
        <v>0</v>
      </c>
      <c r="O271" s="283" t="str">
        <f aca="false">IF(OR($E271="Not Scored",$F$24="No"),"N/A",IF($J271="",$K271,IF($J271="Minor Importance",5,IF($J271="Standard Importance",10,IF($J271="Critical Importance",20,0)))))</f>
        <v>N/A</v>
      </c>
      <c r="P271" s="283" t="str">
        <f aca="false">IF(OR($O271="N/A",$L271="N/A"),"N/A",$O271*$L271)</f>
        <v>N/A</v>
      </c>
      <c r="Q271" s="283" t="n">
        <f aca="false">IF(M271="TRUE",1,0)</f>
        <v>0</v>
      </c>
      <c r="R271" s="283" t="n">
        <f aca="false">R270+Q271</f>
        <v>0</v>
      </c>
      <c r="S271" s="283" t="n">
        <f aca="false">IF(Q271=0,0,R271)</f>
        <v>0</v>
      </c>
      <c r="T271" s="283" t="n">
        <f aca="false">IF(N271=1,1,0)</f>
        <v>0</v>
      </c>
      <c r="U271" s="283" t="n">
        <f aca="false">U270+T271</f>
        <v>69</v>
      </c>
      <c r="V271" s="283" t="n">
        <f aca="false">IF(T271=0,0,U271)</f>
        <v>0</v>
      </c>
    </row>
    <row r="272" customFormat="false" ht="26.85" hidden="false" customHeight="false" outlineLevel="0" collapsed="false">
      <c r="A272" s="311" t="str">
        <f aca="false">Questions!$A272</f>
        <v>PRPO-11</v>
      </c>
      <c r="B272" s="311" t="str">
        <f aca="false">LEFT(A272,4)</f>
        <v>PRPO</v>
      </c>
      <c r="C272" s="311" t="str">
        <f aca="false">VLOOKUP($A272,Questions!$A$3:$L$333,2,0)&amp;""</f>
        <v>Do you have a documented policy for sharing information with law enforcement?</v>
      </c>
      <c r="D272" s="311" t="str">
        <f aca="false">VLOOKUP($A272,Questions!$A$3:$L$333,11,0)&amp;""</f>
        <v/>
      </c>
      <c r="E272" s="311" t="str">
        <f aca="false">VLOOKUP($A272,Questions!$A$3:$L$333,12,0)&amp;""</f>
        <v>Privacy</v>
      </c>
      <c r="F272" s="311" t="str">
        <f aca="false">VLOOKUP($A272,'Privacy Analyst Evaluation'!$A$46:$K$120,3,0)&amp;""</f>
        <v>No</v>
      </c>
      <c r="G272" s="311" t="str">
        <f aca="false">VLOOKUP($A272,'Privacy Analyst Evaluation'!$A$46:$K$120,7,0)&amp;""</f>
        <v>Yes</v>
      </c>
      <c r="H272" s="311" t="str">
        <f aca="false">VLOOKUP($A272,'Privacy Analyst Evaluation'!$A$46:$K$120,8,0)&amp;""</f>
        <v/>
      </c>
      <c r="I272" s="311" t="str">
        <f aca="false">VLOOKUP($A272,'Privacy Analyst Evaluation'!$A$46:$K$120,9,0)&amp;""</f>
        <v>Minor Importance</v>
      </c>
      <c r="J272" s="311" t="str">
        <f aca="false">VLOOKUP($A272,'Privacy Analyst Evaluation'!$A$46:$K$120,10,0)&amp;""</f>
        <v/>
      </c>
      <c r="K272" s="311" t="n">
        <f aca="false">IF($I272="Critical Importance",20,IF($I272="Minor Importance",5,10))</f>
        <v>5</v>
      </c>
      <c r="L272" s="283" t="n">
        <f aca="false">IF($E272="Not Scored", "N/A",IF(AND($D272='Auto Responses'!$J$27,$H272=""),"N/A",IF(AND($D272='Auto Responses'!$J$27,$H272='Auto Responses'!$J$7),1,IF(AND($D272='Auto Responses'!$J$27,$H272='Auto Responses'!$J$8),0,IF(OR($F272=$G272,$H272='Auto Responses'!$J$7),1,0)))))</f>
        <v>0</v>
      </c>
      <c r="M272" s="311" t="str">
        <f aca="false">VLOOKUP($A272,'Privacy Analyst Evaluation'!$A$46:$K$120,10,0)&amp;""</f>
        <v/>
      </c>
      <c r="N272" s="311" t="n">
        <f aca="false">IF($J272="Critical Importance",1,IF(AND($J272="",$I272="Critical Importance"),1,0))</f>
        <v>0</v>
      </c>
      <c r="O272" s="283" t="str">
        <f aca="false">IF(OR($E272="Not Scored",$F$24="No"),"N/A",IF($J272="",$K272,IF($J272="Minor Importance",5,IF($J272="Standard Importance",10,IF($J272="Critical Importance",20,0)))))</f>
        <v>N/A</v>
      </c>
      <c r="P272" s="283" t="str">
        <f aca="false">IF(OR($O272="N/A",$L272="N/A"),"N/A",$O272*$L272)</f>
        <v>N/A</v>
      </c>
      <c r="Q272" s="283" t="n">
        <f aca="false">IF(M272="TRUE",1,0)</f>
        <v>0</v>
      </c>
      <c r="R272" s="283" t="n">
        <f aca="false">R271+Q272</f>
        <v>0</v>
      </c>
      <c r="S272" s="283" t="n">
        <f aca="false">IF(Q272=0,0,R272)</f>
        <v>0</v>
      </c>
      <c r="T272" s="283" t="n">
        <f aca="false">IF(N272=1,1,0)</f>
        <v>0</v>
      </c>
      <c r="U272" s="283" t="n">
        <f aca="false">U271+T272</f>
        <v>69</v>
      </c>
      <c r="V272" s="283" t="n">
        <f aca="false">IF(T272=0,0,U272)</f>
        <v>0</v>
      </c>
    </row>
    <row r="273" customFormat="false" ht="39.55" hidden="false" customHeight="false" outlineLevel="0" collapsed="false">
      <c r="A273" s="311" t="str">
        <f aca="false">Questions!$A273</f>
        <v>PRPO-12</v>
      </c>
      <c r="B273" s="311" t="str">
        <f aca="false">LEFT(A273,4)</f>
        <v>PRPO</v>
      </c>
      <c r="C273" s="311" t="str">
        <f aca="false">VLOOKUP($A273,Questions!$A$3:$L$333,2,0)&amp;""</f>
        <v>Do you share any institutional data with law enforcement without a valid warrant or subpoena?*</v>
      </c>
      <c r="D273" s="311" t="str">
        <f aca="false">VLOOKUP($A273,Questions!$A$3:$L$333,11,0)&amp;""</f>
        <v/>
      </c>
      <c r="E273" s="311" t="str">
        <f aca="false">VLOOKUP($A273,Questions!$A$3:$L$333,12,0)&amp;""</f>
        <v>Privacy</v>
      </c>
      <c r="F273" s="311" t="str">
        <f aca="false">VLOOKUP($A273,'Privacy Analyst Evaluation'!$A$46:$K$120,3,0)&amp;""</f>
        <v>No</v>
      </c>
      <c r="G273" s="311" t="str">
        <f aca="false">VLOOKUP($A273,'Privacy Analyst Evaluation'!$A$46:$K$120,7,0)&amp;""</f>
        <v>No</v>
      </c>
      <c r="H273" s="311" t="str">
        <f aca="false">VLOOKUP($A273,'Privacy Analyst Evaluation'!$A$46:$K$120,8,0)&amp;""</f>
        <v/>
      </c>
      <c r="I273" s="311" t="str">
        <f aca="false">VLOOKUP($A273,'Privacy Analyst Evaluation'!$A$46:$K$120,9,0)&amp;""</f>
        <v>Critical Importance</v>
      </c>
      <c r="J273" s="311" t="str">
        <f aca="false">VLOOKUP($A273,'Privacy Analyst Evaluation'!$A$46:$K$120,10,0)&amp;""</f>
        <v/>
      </c>
      <c r="K273" s="311" t="n">
        <f aca="false">IF($I273="Critical Importance",20,IF($I273="Minor Importance",5,10))</f>
        <v>20</v>
      </c>
      <c r="L273" s="283" t="n">
        <f aca="false">IF($E273="Not Scored", "N/A",IF(AND($D273='Auto Responses'!$J$27,$H273=""),"N/A",IF(AND($D273='Auto Responses'!$J$27,$H273='Auto Responses'!$J$7),1,IF(AND($D273='Auto Responses'!$J$27,$H273='Auto Responses'!$J$8),0,IF(OR($F273=$G273,$H273='Auto Responses'!$J$7),1,0)))))</f>
        <v>1</v>
      </c>
      <c r="M273" s="311" t="str">
        <f aca="false">VLOOKUP($A273,'Privacy Analyst Evaluation'!$A$46:$K$120,10,0)&amp;""</f>
        <v/>
      </c>
      <c r="N273" s="311" t="n">
        <f aca="false">IF($J273="Critical Importance",1,IF(AND($J273="",$I273="Critical Importance"),1,0))</f>
        <v>1</v>
      </c>
      <c r="O273" s="283" t="str">
        <f aca="false">IF(OR($E273="Not Scored",$F$24="No"),"N/A",IF($J273="",$K273,IF($J273="Minor Importance",5,IF($J273="Standard Importance",10,IF($J273="Critical Importance",20,0)))))</f>
        <v>N/A</v>
      </c>
      <c r="P273" s="283" t="str">
        <f aca="false">IF(OR($O273="N/A",$L273="N/A"),"N/A",$O273*$L273)</f>
        <v>N/A</v>
      </c>
      <c r="Q273" s="283" t="n">
        <f aca="false">IF(M273="TRUE",1,0)</f>
        <v>0</v>
      </c>
      <c r="R273" s="283" t="n">
        <f aca="false">R272+Q273</f>
        <v>0</v>
      </c>
      <c r="S273" s="283" t="n">
        <f aca="false">IF(Q273=0,0,R273)</f>
        <v>0</v>
      </c>
      <c r="T273" s="283" t="n">
        <f aca="false">IF(N273=1,1,0)</f>
        <v>1</v>
      </c>
      <c r="U273" s="283" t="n">
        <f aca="false">U272+T273</f>
        <v>70</v>
      </c>
      <c r="V273" s="283" t="n">
        <f aca="false">IF(T273=0,0,U273)</f>
        <v>70</v>
      </c>
    </row>
    <row r="274" customFormat="false" ht="26.85" hidden="false" customHeight="false" outlineLevel="0" collapsed="false">
      <c r="A274" s="311" t="str">
        <f aca="false">Questions!$A274</f>
        <v>PRPO-13</v>
      </c>
      <c r="B274" s="311" t="str">
        <f aca="false">LEFT(A274,4)</f>
        <v>PRPO</v>
      </c>
      <c r="C274" s="311" t="str">
        <f aca="false">VLOOKUP($A274,Questions!$A$3:$L$333,2,0)&amp;""</f>
        <v>Does your incident response team include a privacy analyst/officer?</v>
      </c>
      <c r="D274" s="311" t="str">
        <f aca="false">VLOOKUP($A274,Questions!$A$3:$L$333,11,0)&amp;""</f>
        <v/>
      </c>
      <c r="E274" s="311" t="str">
        <f aca="false">VLOOKUP($A274,Questions!$A$3:$L$333,12,0)&amp;""</f>
        <v>Privacy</v>
      </c>
      <c r="F274" s="311" t="str">
        <f aca="false">VLOOKUP($A274,'Privacy Analyst Evaluation'!$A$46:$K$120,3,0)&amp;""</f>
        <v>No</v>
      </c>
      <c r="G274" s="311" t="str">
        <f aca="false">VLOOKUP($A274,'Privacy Analyst Evaluation'!$A$46:$K$120,7,0)&amp;""</f>
        <v>Yes</v>
      </c>
      <c r="H274" s="311" t="str">
        <f aca="false">VLOOKUP($A274,'Privacy Analyst Evaluation'!$A$46:$K$120,8,0)&amp;""</f>
        <v/>
      </c>
      <c r="I274" s="311" t="str">
        <f aca="false">VLOOKUP($A274,'Privacy Analyst Evaluation'!$A$46:$K$120,9,0)&amp;""</f>
        <v>Minor Importance</v>
      </c>
      <c r="J274" s="311" t="str">
        <f aca="false">VLOOKUP($A274,'Privacy Analyst Evaluation'!$A$46:$K$120,10,0)&amp;""</f>
        <v/>
      </c>
      <c r="K274" s="311" t="n">
        <f aca="false">IF($I274="Critical Importance",20,IF($I274="Minor Importance",5,10))</f>
        <v>5</v>
      </c>
      <c r="L274" s="283" t="n">
        <f aca="false">IF($E274="Not Scored", "N/A",IF(AND($D274='Auto Responses'!$J$27,$H274=""),"N/A",IF(AND($D274='Auto Responses'!$J$27,$H274='Auto Responses'!$J$7),1,IF(AND($D274='Auto Responses'!$J$27,$H274='Auto Responses'!$J$8),0,IF(OR($F274=$G274,$H274='Auto Responses'!$J$7),1,0)))))</f>
        <v>0</v>
      </c>
      <c r="M274" s="311" t="str">
        <f aca="false">VLOOKUP($A274,'Privacy Analyst Evaluation'!$A$46:$K$120,10,0)&amp;""</f>
        <v/>
      </c>
      <c r="N274" s="311" t="n">
        <f aca="false">IF($J274="Critical Importance",1,IF(AND($J274="",$I274="Critical Importance"),1,0))</f>
        <v>0</v>
      </c>
      <c r="O274" s="283" t="str">
        <f aca="false">IF(OR($E274="Not Scored",$F$24="No"),"N/A",IF($J274="",$K274,IF($J274="Minor Importance",5,IF($J274="Standard Importance",10,IF($J274="Critical Importance",20,0)))))</f>
        <v>N/A</v>
      </c>
      <c r="P274" s="283" t="str">
        <f aca="false">IF(OR($O274="N/A",$L274="N/A"),"N/A",$O274*$L274)</f>
        <v>N/A</v>
      </c>
      <c r="Q274" s="283" t="n">
        <f aca="false">IF(M274="TRUE",1,0)</f>
        <v>0</v>
      </c>
      <c r="R274" s="283" t="n">
        <f aca="false">R273+Q274</f>
        <v>0</v>
      </c>
      <c r="S274" s="283" t="n">
        <f aca="false">IF(Q274=0,0,R274)</f>
        <v>0</v>
      </c>
      <c r="T274" s="283" t="n">
        <f aca="false">IF(N274=1,1,0)</f>
        <v>0</v>
      </c>
      <c r="U274" s="283" t="n">
        <f aca="false">U273+T274</f>
        <v>70</v>
      </c>
      <c r="V274" s="283" t="n">
        <f aca="false">IF(T274=0,0,U274)</f>
        <v>0</v>
      </c>
    </row>
    <row r="275" customFormat="false" ht="26.85" hidden="false" customHeight="false" outlineLevel="0" collapsed="false">
      <c r="A275" s="311" t="str">
        <f aca="false">Questions!$A275</f>
        <v>INTL-01</v>
      </c>
      <c r="B275" s="311" t="str">
        <f aca="false">LEFT(A275,4)</f>
        <v>INTL</v>
      </c>
      <c r="C275" s="311" t="str">
        <f aca="false">VLOOKUP($A275,Questions!$A$3:$L$333,2,0)&amp;""</f>
        <v>Will data be collected from or processed in or stored in the European Economic Area (EEA)?</v>
      </c>
      <c r="D275" s="311" t="str">
        <f aca="false">VLOOKUP($A275,Questions!$A$3:$L$333,11,0)&amp;""</f>
        <v>Neutral until evaluated</v>
      </c>
      <c r="E275" s="311" t="str">
        <f aca="false">VLOOKUP($A275,Questions!$A$3:$L$333,12,0)&amp;""</f>
        <v>Privacy</v>
      </c>
      <c r="F275" s="311" t="str">
        <f aca="false">VLOOKUP($A275,'Privacy Analyst Evaluation'!$A$46:$K$120,3,0)&amp;""</f>
        <v>No</v>
      </c>
      <c r="G275" s="311" t="str">
        <f aca="false">VLOOKUP($A275,'Privacy Analyst Evaluation'!$A$46:$K$120,7,0)&amp;""</f>
        <v>No</v>
      </c>
      <c r="H275" s="311" t="str">
        <f aca="false">VLOOKUP($A275,'Privacy Analyst Evaluation'!$A$46:$K$120,8,0)&amp;""</f>
        <v/>
      </c>
      <c r="I275" s="311" t="str">
        <f aca="false">VLOOKUP($A275,'Privacy Analyst Evaluation'!$A$46:$K$120,9,0)&amp;""</f>
        <v>Standard Importance</v>
      </c>
      <c r="J275" s="311" t="str">
        <f aca="false">VLOOKUP($A275,'Privacy Analyst Evaluation'!$A$46:$K$120,10,0)&amp;""</f>
        <v/>
      </c>
      <c r="K275" s="311" t="n">
        <f aca="false">IF($I275="Critical Importance",20,IF($I275="Minor Importance",5,10))</f>
        <v>10</v>
      </c>
      <c r="L275" s="283" t="str">
        <f aca="false">IF($E275="Not Scored", "N/A",IF(AND($D275='Auto Responses'!$J$27,$H275=""),"N/A",IF(AND($D275='Auto Responses'!$J$27,$H275='Auto Responses'!$J$7),1,IF(AND($D275='Auto Responses'!$J$27,$H275='Auto Responses'!$J$8),0,IF(OR($F275=$G275,$H275='Auto Responses'!$J$7),1,0)))))</f>
        <v>N/A</v>
      </c>
      <c r="M275" s="311" t="str">
        <f aca="false">VLOOKUP($A275,'Privacy Analyst Evaluation'!$A$46:$K$120,10,0)&amp;""</f>
        <v/>
      </c>
      <c r="N275" s="311" t="n">
        <f aca="false">IF($J275="Critical Importance",1,IF(AND($J275="",$I275="Critical Importance"),1,0))</f>
        <v>0</v>
      </c>
      <c r="O275" s="283" t="str">
        <f aca="false">IF(OR($E275="Not Scored",$F$24="No"),"N/A",IF($J275="",$K275,IF($J275="Minor Importance",5,IF($J275="Standard Importance",10,IF($J275="Critical Importance",20,0)))))</f>
        <v>N/A</v>
      </c>
      <c r="P275" s="283" t="str">
        <f aca="false">IF(OR($O275="N/A",$L275="N/A"),"N/A",$O275*$L275)</f>
        <v>N/A</v>
      </c>
      <c r="Q275" s="283" t="n">
        <f aca="false">IF(M275="TRUE",1,0)</f>
        <v>0</v>
      </c>
      <c r="R275" s="283" t="n">
        <f aca="false">R274+Q275</f>
        <v>0</v>
      </c>
      <c r="S275" s="283" t="n">
        <f aca="false">IF(Q275=0,0,R275)</f>
        <v>0</v>
      </c>
      <c r="T275" s="283" t="n">
        <f aca="false">IF(N275=1,1,0)</f>
        <v>0</v>
      </c>
      <c r="U275" s="283" t="n">
        <f aca="false">U274+T275</f>
        <v>70</v>
      </c>
      <c r="V275" s="283" t="n">
        <f aca="false">IF(T275=0,0,U275)</f>
        <v>0</v>
      </c>
    </row>
    <row r="276" customFormat="false" ht="26.85" hidden="false" customHeight="false" outlineLevel="0" collapsed="false">
      <c r="A276" s="311" t="str">
        <f aca="false">Questions!$A276</f>
        <v>INTL-02</v>
      </c>
      <c r="B276" s="311" t="str">
        <f aca="false">LEFT(A276,4)</f>
        <v>INTL</v>
      </c>
      <c r="C276" s="311" t="str">
        <f aca="false">VLOOKUP($A276,Questions!$A$3:$L$333,2,0)&amp;""</f>
        <v>Do you have a data protection officer (DPO)?</v>
      </c>
      <c r="D276" s="311" t="str">
        <f aca="false">VLOOKUP($A276,Questions!$A$3:$L$333,11,0)&amp;""</f>
        <v>Neutral until evaluated</v>
      </c>
      <c r="E276" s="311" t="str">
        <f aca="false">VLOOKUP($A276,Questions!$A$3:$L$333,12,0)&amp;""</f>
        <v>Privacy</v>
      </c>
      <c r="F276" s="311" t="str">
        <f aca="false">VLOOKUP($A276,'Privacy Analyst Evaluation'!$A$46:$K$120,3,0)&amp;""</f>
        <v>No</v>
      </c>
      <c r="G276" s="311" t="str">
        <f aca="false">VLOOKUP($A276,'Privacy Analyst Evaluation'!$A$46:$K$120,7,0)&amp;""</f>
        <v>Yes</v>
      </c>
      <c r="H276" s="311" t="str">
        <f aca="false">VLOOKUP($A276,'Privacy Analyst Evaluation'!$A$46:$K$120,8,0)&amp;""</f>
        <v/>
      </c>
      <c r="I276" s="311" t="str">
        <f aca="false">VLOOKUP($A276,'Privacy Analyst Evaluation'!$A$46:$K$120,9,0)&amp;""</f>
        <v>Standard Importance</v>
      </c>
      <c r="J276" s="311" t="str">
        <f aca="false">VLOOKUP($A276,'Privacy Analyst Evaluation'!$A$46:$K$120,10,0)&amp;""</f>
        <v/>
      </c>
      <c r="K276" s="311" t="n">
        <f aca="false">IF($I276="Critical Importance",20,IF($I276="Minor Importance",5,10))</f>
        <v>10</v>
      </c>
      <c r="L276" s="283" t="str">
        <f aca="false">IF($E276="Not Scored", "N/A",IF(AND($D276='Auto Responses'!$J$27,$H276=""),"N/A",IF(AND($D276='Auto Responses'!$J$27,$H276='Auto Responses'!$J$7),1,IF(AND($D276='Auto Responses'!$J$27,$H276='Auto Responses'!$J$8),0,IF(OR($F276=$G276,$H276='Auto Responses'!$J$7),1,0)))))</f>
        <v>N/A</v>
      </c>
      <c r="M276" s="311" t="str">
        <f aca="false">VLOOKUP($A276,'Privacy Analyst Evaluation'!$A$46:$K$120,10,0)&amp;""</f>
        <v/>
      </c>
      <c r="N276" s="311" t="n">
        <f aca="false">IF($J276="Critical Importance",1,IF(AND($J276="",$I276="Critical Importance"),1,0))</f>
        <v>0</v>
      </c>
      <c r="O276" s="283" t="str">
        <f aca="false">IF(OR($E276="Not Scored",$F$24="No"),"N/A",IF($J276="",$K276,IF($J276="Minor Importance",5,IF($J276="Standard Importance",10,IF($J276="Critical Importance",20,0)))))</f>
        <v>N/A</v>
      </c>
      <c r="P276" s="283" t="str">
        <f aca="false">IF(OR($O276="N/A",$L276="N/A"),"N/A",$O276*$L276)</f>
        <v>N/A</v>
      </c>
      <c r="Q276" s="283" t="n">
        <f aca="false">IF(M276="TRUE",1,0)</f>
        <v>0</v>
      </c>
      <c r="R276" s="283" t="n">
        <f aca="false">R275+Q276</f>
        <v>0</v>
      </c>
      <c r="S276" s="283" t="n">
        <f aca="false">IF(Q276=0,0,R276)</f>
        <v>0</v>
      </c>
      <c r="T276" s="283" t="n">
        <f aca="false">IF(N276=1,1,0)</f>
        <v>0</v>
      </c>
      <c r="U276" s="283" t="n">
        <f aca="false">U275+T276</f>
        <v>70</v>
      </c>
      <c r="V276" s="283" t="n">
        <f aca="false">IF(T276=0,0,U276)</f>
        <v>0</v>
      </c>
    </row>
    <row r="277" customFormat="false" ht="39.55" hidden="false" customHeight="false" outlineLevel="0" collapsed="false">
      <c r="A277" s="311" t="str">
        <f aca="false">Questions!$A277</f>
        <v>INTL-03</v>
      </c>
      <c r="B277" s="311" t="str">
        <f aca="false">LEFT(A277,4)</f>
        <v>INTL</v>
      </c>
      <c r="C277" s="311" t="str">
        <f aca="false">VLOOKUP($A277,Questions!$A$3:$L$333,2,0)&amp;""</f>
        <v>Will you sign appropriate GDPR Standard Contractual Clauses (SCCs) with the institution?</v>
      </c>
      <c r="D277" s="311" t="str">
        <f aca="false">VLOOKUP($A277,Questions!$A$3:$L$333,11,0)&amp;""</f>
        <v>Neutral until evaluated</v>
      </c>
      <c r="E277" s="311" t="str">
        <f aca="false">VLOOKUP($A277,Questions!$A$3:$L$333,12,0)&amp;""</f>
        <v>Privacy</v>
      </c>
      <c r="F277" s="311" t="str">
        <f aca="false">VLOOKUP($A277,'Privacy Analyst Evaluation'!$A$46:$K$120,3,0)&amp;""</f>
        <v>No</v>
      </c>
      <c r="G277" s="311" t="str">
        <f aca="false">VLOOKUP($A277,'Privacy Analyst Evaluation'!$A$46:$K$120,7,0)&amp;""</f>
        <v>Yes</v>
      </c>
      <c r="H277" s="311" t="str">
        <f aca="false">VLOOKUP($A277,'Privacy Analyst Evaluation'!$A$46:$K$120,8,0)&amp;""</f>
        <v/>
      </c>
      <c r="I277" s="311" t="str">
        <f aca="false">VLOOKUP($A277,'Privacy Analyst Evaluation'!$A$46:$K$120,9,0)&amp;""</f>
        <v>Standard Importance</v>
      </c>
      <c r="J277" s="311" t="str">
        <f aca="false">VLOOKUP($A277,'Privacy Analyst Evaluation'!$A$46:$K$120,10,0)&amp;""</f>
        <v/>
      </c>
      <c r="K277" s="311" t="n">
        <f aca="false">IF($I277="Critical Importance",20,IF($I277="Minor Importance",5,10))</f>
        <v>10</v>
      </c>
      <c r="L277" s="283" t="str">
        <f aca="false">IF($E277="Not Scored", "N/A",IF(AND($D277='Auto Responses'!$J$27,$H277=""),"N/A",IF(AND($D277='Auto Responses'!$J$27,$H277='Auto Responses'!$J$7),1,IF(AND($D277='Auto Responses'!$J$27,$H277='Auto Responses'!$J$8),0,IF(OR($F277=$G277,$H277='Auto Responses'!$J$7),1,0)))))</f>
        <v>N/A</v>
      </c>
      <c r="M277" s="311" t="str">
        <f aca="false">VLOOKUP($A277,'Privacy Analyst Evaluation'!$A$46:$K$120,10,0)&amp;""</f>
        <v/>
      </c>
      <c r="N277" s="311" t="n">
        <f aca="false">IF($J277="Critical Importance",1,IF(AND($J277="",$I277="Critical Importance"),1,0))</f>
        <v>0</v>
      </c>
      <c r="O277" s="283" t="str">
        <f aca="false">IF(OR($E277="Not Scored",$F$24="No"),"N/A",IF($J277="",$K277,IF($J277="Minor Importance",5,IF($J277="Standard Importance",10,IF($J277="Critical Importance",20,0)))))</f>
        <v>N/A</v>
      </c>
      <c r="P277" s="283" t="str">
        <f aca="false">IF(OR($O277="N/A",$L277="N/A"),"N/A",$O277*$L277)</f>
        <v>N/A</v>
      </c>
      <c r="Q277" s="283" t="n">
        <f aca="false">IF(M277="TRUE",1,0)</f>
        <v>0</v>
      </c>
      <c r="R277" s="283" t="n">
        <f aca="false">R276+Q277</f>
        <v>0</v>
      </c>
      <c r="S277" s="283" t="n">
        <f aca="false">IF(Q277=0,0,R277)</f>
        <v>0</v>
      </c>
      <c r="T277" s="283" t="n">
        <f aca="false">IF(N277=1,1,0)</f>
        <v>0</v>
      </c>
      <c r="U277" s="283" t="n">
        <f aca="false">U276+T277</f>
        <v>70</v>
      </c>
      <c r="V277" s="283" t="n">
        <f aca="false">IF(T277=0,0,U277)</f>
        <v>0</v>
      </c>
    </row>
    <row r="278" customFormat="false" ht="26.85" hidden="false" customHeight="false" outlineLevel="0" collapsed="false">
      <c r="A278" s="311" t="str">
        <f aca="false">Questions!$A278</f>
        <v>INTL-04</v>
      </c>
      <c r="B278" s="311" t="str">
        <f aca="false">LEFT(A278,4)</f>
        <v>INTL</v>
      </c>
      <c r="C278" s="311" t="str">
        <f aca="false">VLOOKUP($A278,Questions!$A$3:$L$333,2,0)&amp;""</f>
        <v>Will data be collected from or processed in or stored in China?</v>
      </c>
      <c r="D278" s="311" t="str">
        <f aca="false">VLOOKUP($A278,Questions!$A$3:$L$333,11,0)&amp;""</f>
        <v>Neutral until evaluated</v>
      </c>
      <c r="E278" s="311" t="str">
        <f aca="false">VLOOKUP($A278,Questions!$A$3:$L$333,12,0)&amp;""</f>
        <v>Privacy</v>
      </c>
      <c r="F278" s="311" t="str">
        <f aca="false">VLOOKUP($A278,'Privacy Analyst Evaluation'!$A$46:$K$120,3,0)&amp;""</f>
        <v>No</v>
      </c>
      <c r="G278" s="311" t="str">
        <f aca="false">VLOOKUP($A278,'Privacy Analyst Evaluation'!$A$46:$K$120,7,0)&amp;""</f>
        <v>No</v>
      </c>
      <c r="H278" s="311" t="str">
        <f aca="false">VLOOKUP($A278,'Privacy Analyst Evaluation'!$A$46:$K$120,8,0)&amp;""</f>
        <v/>
      </c>
      <c r="I278" s="311" t="str">
        <f aca="false">VLOOKUP($A278,'Privacy Analyst Evaluation'!$A$46:$K$120,9,0)&amp;""</f>
        <v>Standard Importance</v>
      </c>
      <c r="J278" s="311" t="str">
        <f aca="false">VLOOKUP($A278,'Privacy Analyst Evaluation'!$A$46:$K$120,10,0)&amp;""</f>
        <v/>
      </c>
      <c r="K278" s="311" t="n">
        <f aca="false">IF($I278="Critical Importance",20,IF($I278="Minor Importance",5,10))</f>
        <v>10</v>
      </c>
      <c r="L278" s="283" t="str">
        <f aca="false">IF($E278="Not Scored", "N/A",IF(AND($D278='Auto Responses'!$J$27,$H278=""),"N/A",IF(AND($D278='Auto Responses'!$J$27,$H278='Auto Responses'!$J$7),1,IF(AND($D278='Auto Responses'!$J$27,$H278='Auto Responses'!$J$8),0,IF(OR($F278=$G278,$H278='Auto Responses'!$J$7),1,0)))))</f>
        <v>N/A</v>
      </c>
      <c r="M278" s="311" t="str">
        <f aca="false">VLOOKUP($A278,'Privacy Analyst Evaluation'!$A$46:$K$120,10,0)&amp;""</f>
        <v/>
      </c>
      <c r="N278" s="311" t="n">
        <f aca="false">IF($J278="Critical Importance",1,IF(AND($J278="",$I278="Critical Importance"),1,0))</f>
        <v>0</v>
      </c>
      <c r="O278" s="283" t="str">
        <f aca="false">IF(OR($E278="Not Scored",$F$24="No"),"N/A",IF($J278="",$K278,IF($J278="Minor Importance",5,IF($J278="Standard Importance",10,IF($J278="Critical Importance",20,0)))))</f>
        <v>N/A</v>
      </c>
      <c r="P278" s="283" t="str">
        <f aca="false">IF(OR($O278="N/A",$L278="N/A"),"N/A",$O278*$L278)</f>
        <v>N/A</v>
      </c>
      <c r="Q278" s="283" t="n">
        <f aca="false">IF(M278="TRUE",1,0)</f>
        <v>0</v>
      </c>
      <c r="R278" s="283" t="n">
        <f aca="false">R277+Q278</f>
        <v>0</v>
      </c>
      <c r="S278" s="283" t="n">
        <f aca="false">IF(Q278=0,0,R278)</f>
        <v>0</v>
      </c>
      <c r="T278" s="283" t="n">
        <f aca="false">IF(N278=1,1,0)</f>
        <v>0</v>
      </c>
      <c r="U278" s="283" t="n">
        <f aca="false">U277+T278</f>
        <v>70</v>
      </c>
      <c r="V278" s="283" t="n">
        <f aca="false">IF(T278=0,0,U278)</f>
        <v>0</v>
      </c>
    </row>
    <row r="279" customFormat="false" ht="26.85" hidden="false" customHeight="false" outlineLevel="0" collapsed="false">
      <c r="A279" s="311" t="str">
        <f aca="false">Questions!$A279</f>
        <v>INTL-05</v>
      </c>
      <c r="B279" s="311" t="str">
        <f aca="false">LEFT(A279,4)</f>
        <v>INTL</v>
      </c>
      <c r="C279" s="311" t="str">
        <f aca="false">VLOOKUP($A279,Questions!$A$3:$L$333,2,0)&amp;""</f>
        <v>Do you comply with PIPL security, privacy, and data localization requirements?</v>
      </c>
      <c r="D279" s="311" t="str">
        <f aca="false">VLOOKUP($A279,Questions!$A$3:$L$333,11,0)&amp;""</f>
        <v>Neutral until evaluated</v>
      </c>
      <c r="E279" s="311" t="str">
        <f aca="false">VLOOKUP($A279,Questions!$A$3:$L$333,12,0)&amp;""</f>
        <v>Privacy</v>
      </c>
      <c r="F279" s="311" t="str">
        <f aca="false">VLOOKUP($A279,'Privacy Analyst Evaluation'!$A$46:$K$120,3,0)&amp;""</f>
        <v>No</v>
      </c>
      <c r="G279" s="311" t="str">
        <f aca="false">VLOOKUP($A279,'Privacy Analyst Evaluation'!$A$46:$K$120,7,0)&amp;""</f>
        <v>Yes</v>
      </c>
      <c r="H279" s="311" t="str">
        <f aca="false">VLOOKUP($A279,'Privacy Analyst Evaluation'!$A$46:$K$120,8,0)&amp;""</f>
        <v/>
      </c>
      <c r="I279" s="311" t="str">
        <f aca="false">VLOOKUP($A279,'Privacy Analyst Evaluation'!$A$46:$K$120,9,0)&amp;""</f>
        <v>Standard Importance</v>
      </c>
      <c r="J279" s="311" t="str">
        <f aca="false">VLOOKUP($A279,'Privacy Analyst Evaluation'!$A$46:$K$120,10,0)&amp;""</f>
        <v/>
      </c>
      <c r="K279" s="311" t="n">
        <f aca="false">IF($I279="Critical Importance",20,IF($I279="Minor Importance",5,10))</f>
        <v>10</v>
      </c>
      <c r="L279" s="283" t="str">
        <f aca="false">IF($E279="Not Scored", "N/A",IF(AND($D279='Auto Responses'!$J$27,$H279=""),"N/A",IF(AND($D279='Auto Responses'!$J$27,$H279='Auto Responses'!$J$7),1,IF(AND($D279='Auto Responses'!$J$27,$H279='Auto Responses'!$J$8),0,IF(OR($F279=$G279,$H279='Auto Responses'!$J$7),1,0)))))</f>
        <v>N/A</v>
      </c>
      <c r="M279" s="311" t="str">
        <f aca="false">VLOOKUP($A279,'Privacy Analyst Evaluation'!$A$46:$K$120,10,0)&amp;""</f>
        <v/>
      </c>
      <c r="N279" s="311" t="n">
        <f aca="false">IF($J279="Critical Importance",1,IF(AND($J279="",$I279="Critical Importance"),1,0))</f>
        <v>0</v>
      </c>
      <c r="O279" s="283" t="str">
        <f aca="false">IF(OR($E279="Not Scored",$F279="N/A",$F$24="No"),"N/A",IF($J279="",$K279,IF($J279="Minor Importance",5,IF($J279="Standard Importance",10,IF($J279="Critical Importance",20,0)))))</f>
        <v>N/A</v>
      </c>
      <c r="P279" s="283" t="str">
        <f aca="false">IF(OR($O279="N/A",$L279="N/A"),"N/A",$O279*$L279)</f>
        <v>N/A</v>
      </c>
      <c r="Q279" s="283" t="n">
        <f aca="false">IF(M279="TRUE",1,0)</f>
        <v>0</v>
      </c>
      <c r="R279" s="283" t="n">
        <f aca="false">R278+Q279</f>
        <v>0</v>
      </c>
      <c r="S279" s="283" t="n">
        <f aca="false">IF(Q279=0,0,R279)</f>
        <v>0</v>
      </c>
      <c r="T279" s="283" t="n">
        <f aca="false">IF(N279=1,1,0)</f>
        <v>0</v>
      </c>
      <c r="U279" s="283" t="n">
        <f aca="false">U278+T279</f>
        <v>70</v>
      </c>
      <c r="V279" s="283" t="n">
        <f aca="false">IF(T279=0,0,U279)</f>
        <v>0</v>
      </c>
    </row>
    <row r="280" customFormat="false" ht="26.85" hidden="false" customHeight="false" outlineLevel="0" collapsed="false">
      <c r="A280" s="311" t="str">
        <f aca="false">Questions!$A280</f>
        <v>DRPV-01</v>
      </c>
      <c r="B280" s="311" t="str">
        <f aca="false">LEFT(A280,4)</f>
        <v>DRPV</v>
      </c>
      <c r="C280" s="311" t="str">
        <f aca="false">VLOOKUP($A280,Questions!$A$3:$L$333,2,0)&amp;""</f>
        <v>Have you performed a Data Privacy Impact Assesssment for the solution/project?</v>
      </c>
      <c r="D280" s="311" t="str">
        <f aca="false">VLOOKUP($A280,Questions!$A$3:$L$333,11,0)&amp;""</f>
        <v/>
      </c>
      <c r="E280" s="311" t="str">
        <f aca="false">VLOOKUP($A280,Questions!$A$3:$L$333,12,0)&amp;""</f>
        <v>Privacy</v>
      </c>
      <c r="F280" s="311" t="str">
        <f aca="false">VLOOKUP($A280,'Privacy Analyst Evaluation'!$A$46:$K$120,3,0)&amp;""</f>
        <v>No</v>
      </c>
      <c r="G280" s="311" t="str">
        <f aca="false">VLOOKUP($A280,'Privacy Analyst Evaluation'!$A$46:$K$120,7,0)&amp;""</f>
        <v>Yes</v>
      </c>
      <c r="H280" s="311" t="str">
        <f aca="false">VLOOKUP($A280,'Privacy Analyst Evaluation'!$A$46:$K$120,8,0)&amp;""</f>
        <v/>
      </c>
      <c r="I280" s="311" t="str">
        <f aca="false">VLOOKUP($A280,'Privacy Analyst Evaluation'!$A$46:$K$120,9,0)&amp;""</f>
        <v>Standard Importance</v>
      </c>
      <c r="J280" s="311" t="str">
        <f aca="false">VLOOKUP($A280,'Privacy Analyst Evaluation'!$A$46:$K$120,10,0)&amp;""</f>
        <v/>
      </c>
      <c r="K280" s="311" t="n">
        <f aca="false">IF($I280="Critical Importance",20,IF($I280="Minor Importance",5,10))</f>
        <v>10</v>
      </c>
      <c r="L280" s="283" t="n">
        <f aca="false">IF($E280="Not Scored", "N/A",IF(AND($D280='Auto Responses'!$J$27,$H280=""),"N/A",IF(AND($D280='Auto Responses'!$J$27,$H280='Auto Responses'!$J$7),1,IF(AND($D280='Auto Responses'!$J$27,$H280='Auto Responses'!$J$8),0,IF(OR($F280=$G280,$H280='Auto Responses'!$J$7),1,0)))))</f>
        <v>0</v>
      </c>
      <c r="M280" s="311" t="str">
        <f aca="false">VLOOKUP($A280,'Privacy Analyst Evaluation'!$A$46:$K$120,10,0)&amp;""</f>
        <v/>
      </c>
      <c r="N280" s="311" t="n">
        <f aca="false">IF($J280="Critical Importance",1,IF(AND($J280="",$I280="Critical Importance"),1,0))</f>
        <v>0</v>
      </c>
      <c r="O280" s="283" t="str">
        <f aca="false">IF(OR($E280="Not Scored",$F$24="No"),"N/A",IF($J280="",$K280,IF($J280="Minor Importance",5,IF($J280="Standard Importance",10,IF($J280="Critical Importance",20,0)))))</f>
        <v>N/A</v>
      </c>
      <c r="P280" s="283" t="str">
        <f aca="false">IF(OR($O280="N/A",$L280="N/A"),"N/A",$O280*$L280)</f>
        <v>N/A</v>
      </c>
      <c r="Q280" s="283" t="n">
        <f aca="false">IF(M280="TRUE",1,0)</f>
        <v>0</v>
      </c>
      <c r="R280" s="283" t="n">
        <f aca="false">R279+Q280</f>
        <v>0</v>
      </c>
      <c r="S280" s="283" t="n">
        <f aca="false">IF(Q280=0,0,R280)</f>
        <v>0</v>
      </c>
      <c r="T280" s="283" t="n">
        <f aca="false">IF(N280=1,1,0)</f>
        <v>0</v>
      </c>
      <c r="U280" s="283" t="n">
        <f aca="false">U279+T280</f>
        <v>70</v>
      </c>
      <c r="V280" s="283" t="n">
        <f aca="false">IF(T280=0,0,U280)</f>
        <v>0</v>
      </c>
    </row>
    <row r="281" customFormat="false" ht="64.9" hidden="false" customHeight="false" outlineLevel="0" collapsed="false">
      <c r="A281" s="311" t="str">
        <f aca="false">Questions!$A281</f>
        <v>DRPV-02</v>
      </c>
      <c r="B281" s="311" t="str">
        <f aca="false">LEFT(A281,4)</f>
        <v>DRPV</v>
      </c>
      <c r="C281" s="311" t="str">
        <f aca="false">VLOOKUP($A281,Questions!$A$3:$L$333,2,0)&amp;""</f>
        <v>Do you provide an end-user privacy notice about privacy policies and procedures that identify the purpose(s) for which personal information is collected, used, retained, and disclosed?</v>
      </c>
      <c r="D281" s="311" t="str">
        <f aca="false">VLOOKUP($A281,Questions!$A$3:$L$333,11,0)&amp;""</f>
        <v/>
      </c>
      <c r="E281" s="311" t="str">
        <f aca="false">VLOOKUP($A281,Questions!$A$3:$L$333,12,0)&amp;""</f>
        <v>Privacy</v>
      </c>
      <c r="F281" s="311" t="str">
        <f aca="false">VLOOKUP($A281,'Privacy Analyst Evaluation'!$A$46:$K$120,3,0)&amp;""</f>
        <v>No</v>
      </c>
      <c r="G281" s="311" t="str">
        <f aca="false">VLOOKUP($A281,'Privacy Analyst Evaluation'!$A$46:$K$120,7,0)&amp;""</f>
        <v>Yes</v>
      </c>
      <c r="H281" s="311" t="str">
        <f aca="false">VLOOKUP($A281,'Privacy Analyst Evaluation'!$A$46:$K$120,8,0)&amp;""</f>
        <v/>
      </c>
      <c r="I281" s="311" t="str">
        <f aca="false">VLOOKUP($A281,'Privacy Analyst Evaluation'!$A$46:$K$120,9,0)&amp;""</f>
        <v>Standard Importance</v>
      </c>
      <c r="J281" s="311" t="str">
        <f aca="false">VLOOKUP($A281,'Privacy Analyst Evaluation'!$A$46:$K$120,10,0)&amp;""</f>
        <v/>
      </c>
      <c r="K281" s="311" t="n">
        <f aca="false">IF($I281="Critical Importance",20,IF($I281="Minor Importance",5,10))</f>
        <v>10</v>
      </c>
      <c r="L281" s="283" t="n">
        <f aca="false">IF($E281="Not Scored", "N/A",IF(AND($D281='Auto Responses'!$J$27,$H281=""),"N/A",IF(AND($D281='Auto Responses'!$J$27,$H281='Auto Responses'!$J$7),1,IF(AND($D281='Auto Responses'!$J$27,$H281='Auto Responses'!$J$8),0,IF(OR($F281=$G281,$H281='Auto Responses'!$J$7),1,0)))))</f>
        <v>0</v>
      </c>
      <c r="M281" s="311" t="str">
        <f aca="false">VLOOKUP($A281,'Privacy Analyst Evaluation'!$A$46:$K$120,10,0)&amp;""</f>
        <v/>
      </c>
      <c r="N281" s="311" t="n">
        <f aca="false">IF($J281="Critical Importance",1,IF(AND($J281="",$I281="Critical Importance"),1,0))</f>
        <v>0</v>
      </c>
      <c r="O281" s="283" t="str">
        <f aca="false">IF(OR($E281="Not Scored",$F$24="No"),"N/A",IF($J281="",$K281,IF($J281="Minor Importance",5,IF($J281="Standard Importance",10,IF($J281="Critical Importance",20,0)))))</f>
        <v>N/A</v>
      </c>
      <c r="P281" s="283" t="str">
        <f aca="false">IF(OR($O281="N/A",$L281="N/A"),"N/A",$O281*$L281)</f>
        <v>N/A</v>
      </c>
      <c r="Q281" s="283" t="n">
        <f aca="false">IF(M281="TRUE",1,0)</f>
        <v>0</v>
      </c>
      <c r="R281" s="283" t="n">
        <f aca="false">R280+Q281</f>
        <v>0</v>
      </c>
      <c r="S281" s="283" t="n">
        <f aca="false">IF(Q281=0,0,R281)</f>
        <v>0</v>
      </c>
      <c r="T281" s="283" t="n">
        <f aca="false">IF(N281=1,1,0)</f>
        <v>0</v>
      </c>
      <c r="U281" s="283" t="n">
        <f aca="false">U280+T281</f>
        <v>70</v>
      </c>
      <c r="V281" s="283" t="n">
        <f aca="false">IF(T281=0,0,U281)</f>
        <v>0</v>
      </c>
    </row>
    <row r="282" customFormat="false" ht="52.2" hidden="false" customHeight="false" outlineLevel="0" collapsed="false">
      <c r="A282" s="311" t="str">
        <f aca="false">Questions!$A282</f>
        <v>DRPV-03</v>
      </c>
      <c r="B282" s="311" t="str">
        <f aca="false">LEFT(A282,4)</f>
        <v>DRPV</v>
      </c>
      <c r="C282" s="311" t="str">
        <f aca="false">VLOOKUP($A282,Questions!$A$3:$L$333,2,0)&amp;""</f>
        <v>Do you describe the choices available to the individual and obtain implicit or explicit consent with respect to the collection, use, and disclosure of personal information?</v>
      </c>
      <c r="D282" s="311" t="str">
        <f aca="false">VLOOKUP($A282,Questions!$A$3:$L$333,11,0)&amp;""</f>
        <v/>
      </c>
      <c r="E282" s="311" t="str">
        <f aca="false">VLOOKUP($A282,Questions!$A$3:$L$333,12,0)&amp;""</f>
        <v>Privacy</v>
      </c>
      <c r="F282" s="311" t="str">
        <f aca="false">VLOOKUP($A282,'Privacy Analyst Evaluation'!$A$46:$K$120,3,0)&amp;""</f>
        <v>No</v>
      </c>
      <c r="G282" s="311" t="str">
        <f aca="false">VLOOKUP($A282,'Privacy Analyst Evaluation'!$A$46:$K$120,7,0)&amp;""</f>
        <v>Yes</v>
      </c>
      <c r="H282" s="311" t="str">
        <f aca="false">VLOOKUP($A282,'Privacy Analyst Evaluation'!$A$46:$K$120,8,0)&amp;""</f>
        <v/>
      </c>
      <c r="I282" s="311" t="str">
        <f aca="false">VLOOKUP($A282,'Privacy Analyst Evaluation'!$A$46:$K$120,9,0)&amp;""</f>
        <v>Standard Importance</v>
      </c>
      <c r="J282" s="311" t="str">
        <f aca="false">VLOOKUP($A282,'Privacy Analyst Evaluation'!$A$46:$K$120,10,0)&amp;""</f>
        <v/>
      </c>
      <c r="K282" s="311" t="n">
        <f aca="false">IF($I282="Critical Importance",20,IF($I282="Minor Importance",5,10))</f>
        <v>10</v>
      </c>
      <c r="L282" s="283" t="n">
        <f aca="false">IF($E282="Not Scored", "N/A",IF(AND($D282='Auto Responses'!$J$27,$H282=""),"N/A",IF(AND($D282='Auto Responses'!$J$27,$H282='Auto Responses'!$J$7),1,IF(AND($D282='Auto Responses'!$J$27,$H282='Auto Responses'!$J$8),0,IF(OR($F282=$G282,$H282='Auto Responses'!$J$7),1,0)))))</f>
        <v>0</v>
      </c>
      <c r="M282" s="311" t="str">
        <f aca="false">VLOOKUP($A282,'Privacy Analyst Evaluation'!$A$46:$K$120,10,0)&amp;""</f>
        <v/>
      </c>
      <c r="N282" s="311" t="n">
        <f aca="false">IF($J282="Critical Importance",1,IF(AND($J282="",$I282="Critical Importance"),1,0))</f>
        <v>0</v>
      </c>
      <c r="O282" s="283" t="str">
        <f aca="false">IF(OR($E282="Not Scored",$F282="N/A",$F$24="No"),"N/A",IF($J282="",$K282,IF($J282="Minor Importance",5,IF($J282="Standard Importance",10,IF($J282="Critical Importance",20,0)))))</f>
        <v>N/A</v>
      </c>
      <c r="P282" s="283" t="str">
        <f aca="false">IF(OR($O282="N/A",$L282="N/A"),"N/A",$O282*$L282)</f>
        <v>N/A</v>
      </c>
      <c r="Q282" s="283" t="n">
        <f aca="false">IF(M282="TRUE",1,0)</f>
        <v>0</v>
      </c>
      <c r="R282" s="283" t="n">
        <f aca="false">R281+Q282</f>
        <v>0</v>
      </c>
      <c r="S282" s="283" t="n">
        <f aca="false">IF(Q282=0,0,R282)</f>
        <v>0</v>
      </c>
      <c r="T282" s="283" t="n">
        <f aca="false">IF(N282=1,1,0)</f>
        <v>0</v>
      </c>
      <c r="U282" s="283" t="n">
        <f aca="false">U281+T282</f>
        <v>70</v>
      </c>
      <c r="V282" s="283" t="n">
        <f aca="false">IF(T282=0,0,U282)</f>
        <v>0</v>
      </c>
    </row>
    <row r="283" customFormat="false" ht="52.2" hidden="false" customHeight="false" outlineLevel="0" collapsed="false">
      <c r="A283" s="311" t="str">
        <f aca="false">Questions!$A283</f>
        <v>DRPV-04</v>
      </c>
      <c r="B283" s="311" t="str">
        <f aca="false">LEFT(A283,4)</f>
        <v>DRPV</v>
      </c>
      <c r="C283" s="311" t="str">
        <f aca="false">VLOOKUP($A283,Questions!$A$3:$L$333,2,0)&amp;""</f>
        <v>Do you collect personal information only for the purpose(s) identified in the agreement with an institution or, if there is none, the purpose(s) identified in the privacy notice?</v>
      </c>
      <c r="D283" s="311" t="str">
        <f aca="false">VLOOKUP($A283,Questions!$A$3:$L$333,11,0)&amp;""</f>
        <v/>
      </c>
      <c r="E283" s="311" t="str">
        <f aca="false">VLOOKUP($A283,Questions!$A$3:$L$333,12,0)&amp;""</f>
        <v>Privacy</v>
      </c>
      <c r="F283" s="311" t="str">
        <f aca="false">VLOOKUP($A283,'Privacy Analyst Evaluation'!$A$46:$K$120,3,0)&amp;""</f>
        <v>No</v>
      </c>
      <c r="G283" s="311" t="str">
        <f aca="false">VLOOKUP($A283,'Privacy Analyst Evaluation'!$A$46:$K$120,7,0)&amp;""</f>
        <v>Yes</v>
      </c>
      <c r="H283" s="311" t="str">
        <f aca="false">VLOOKUP($A283,'Privacy Analyst Evaluation'!$A$46:$K$120,8,0)&amp;""</f>
        <v/>
      </c>
      <c r="I283" s="311" t="str">
        <f aca="false">VLOOKUP($A283,'Privacy Analyst Evaluation'!$A$46:$K$120,9,0)&amp;""</f>
        <v>Standard Importance</v>
      </c>
      <c r="J283" s="311" t="str">
        <f aca="false">VLOOKUP($A283,'Privacy Analyst Evaluation'!$A$46:$K$120,10,0)&amp;""</f>
        <v/>
      </c>
      <c r="K283" s="311" t="n">
        <f aca="false">IF($I283="Critical Importance",20,IF($I283="Minor Importance",5,10))</f>
        <v>10</v>
      </c>
      <c r="L283" s="283" t="n">
        <f aca="false">IF($E283="Not Scored", "N/A",IF(AND($D283='Auto Responses'!$J$27,$H283=""),"N/A",IF(AND($D283='Auto Responses'!$J$27,$H283='Auto Responses'!$J$7),1,IF(AND($D283='Auto Responses'!$J$27,$H283='Auto Responses'!$J$8),0,IF(OR($F283=$G283,$H283='Auto Responses'!$J$7),1,0)))))</f>
        <v>0</v>
      </c>
      <c r="M283" s="311" t="str">
        <f aca="false">VLOOKUP($A283,'Privacy Analyst Evaluation'!$A$46:$K$120,10,0)&amp;""</f>
        <v/>
      </c>
      <c r="N283" s="311" t="n">
        <f aca="false">IF($J283="Critical Importance",1,IF(AND($J283="",$I283="Critical Importance"),1,0))</f>
        <v>0</v>
      </c>
      <c r="O283" s="283" t="str">
        <f aca="false">IF(OR($E283="Not Scored",$F283="N/A",$F$24="No"),"N/A",IF($J283="",$K283,IF($J283="Minor Importance",5,IF($J283="Standard Importance",10,IF($J283="Critical Importance",20,0)))))</f>
        <v>N/A</v>
      </c>
      <c r="P283" s="283" t="str">
        <f aca="false">IF(OR($O283="N/A",$L283="N/A"),"N/A",$O283*$L283)</f>
        <v>N/A</v>
      </c>
      <c r="Q283" s="283" t="n">
        <f aca="false">IF(M283="TRUE",1,0)</f>
        <v>0</v>
      </c>
      <c r="R283" s="283" t="n">
        <f aca="false">R282+Q283</f>
        <v>0</v>
      </c>
      <c r="S283" s="283" t="n">
        <f aca="false">IF(Q283=0,0,R283)</f>
        <v>0</v>
      </c>
      <c r="T283" s="283" t="n">
        <f aca="false">IF(N283=1,1,0)</f>
        <v>0</v>
      </c>
      <c r="U283" s="283" t="n">
        <f aca="false">U282+T283</f>
        <v>70</v>
      </c>
      <c r="V283" s="283" t="n">
        <f aca="false">IF(T283=0,0,U283)</f>
        <v>0</v>
      </c>
    </row>
    <row r="284" customFormat="false" ht="26.85" hidden="false" customHeight="false" outlineLevel="0" collapsed="false">
      <c r="A284" s="311" t="str">
        <f aca="false">Questions!$A284</f>
        <v>DRPV-05</v>
      </c>
      <c r="B284" s="311" t="str">
        <f aca="false">LEFT(A284,4)</f>
        <v>DRPV</v>
      </c>
      <c r="C284" s="311" t="str">
        <f aca="false">VLOOKUP($A284,Questions!$A$3:$L$333,2,0)&amp;""</f>
        <v>Do you have a documented list of personal data your service maintains?</v>
      </c>
      <c r="D284" s="311" t="str">
        <f aca="false">VLOOKUP($A284,Questions!$A$3:$L$333,11,0)&amp;""</f>
        <v/>
      </c>
      <c r="E284" s="311" t="str">
        <f aca="false">VLOOKUP($A284,Questions!$A$3:$L$333,12,0)&amp;""</f>
        <v>Privacy</v>
      </c>
      <c r="F284" s="311" t="str">
        <f aca="false">VLOOKUP($A284,'Privacy Analyst Evaluation'!$A$46:$K$120,3,0)&amp;""</f>
        <v>No</v>
      </c>
      <c r="G284" s="311" t="str">
        <f aca="false">VLOOKUP($A284,'Privacy Analyst Evaluation'!$A$46:$K$120,7,0)&amp;""</f>
        <v>Yes</v>
      </c>
      <c r="H284" s="311" t="str">
        <f aca="false">VLOOKUP($A284,'Privacy Analyst Evaluation'!$A$46:$K$120,8,0)&amp;""</f>
        <v/>
      </c>
      <c r="I284" s="311" t="str">
        <f aca="false">VLOOKUP($A284,'Privacy Analyst Evaluation'!$A$46:$K$120,9,0)&amp;""</f>
        <v>Standard Importance</v>
      </c>
      <c r="J284" s="311" t="str">
        <f aca="false">VLOOKUP($A284,'Privacy Analyst Evaluation'!$A$46:$K$120,10,0)&amp;""</f>
        <v/>
      </c>
      <c r="K284" s="311" t="n">
        <f aca="false">IF($I284="Critical Importance",20,IF($I284="Minor Importance",5,10))</f>
        <v>10</v>
      </c>
      <c r="L284" s="283" t="n">
        <f aca="false">IF($E284="Not Scored", "N/A",IF(AND($D284='Auto Responses'!$J$27,$H284=""),"N/A",IF(AND($D284='Auto Responses'!$J$27,$H284='Auto Responses'!$J$7),1,IF(AND($D284='Auto Responses'!$J$27,$H284='Auto Responses'!$J$8),0,IF(OR($F284=$G284,$H284='Auto Responses'!$J$7),1,0)))))</f>
        <v>0</v>
      </c>
      <c r="M284" s="311" t="str">
        <f aca="false">VLOOKUP($A284,'Privacy Analyst Evaluation'!$A$46:$K$120,10,0)&amp;""</f>
        <v/>
      </c>
      <c r="N284" s="311" t="n">
        <f aca="false">IF($J284="Critical Importance",1,IF(AND($J284="",$I284="Critical Importance"),1,0))</f>
        <v>0</v>
      </c>
      <c r="O284" s="283" t="str">
        <f aca="false">IF(OR($E284="Not Scored",$F284="N/A",$F$24="No"),"N/A",IF($J284="",$K284,IF($J284="Minor Importance",5,IF($J284="Standard Importance",10,IF($J284="Critical Importance",20,0)))))</f>
        <v>N/A</v>
      </c>
      <c r="P284" s="283" t="str">
        <f aca="false">IF(OR($O284="N/A",$L284="N/A"),"N/A",$O284*$L284)</f>
        <v>N/A</v>
      </c>
      <c r="Q284" s="283" t="n">
        <f aca="false">IF(M284="TRUE",1,0)</f>
        <v>0</v>
      </c>
      <c r="R284" s="283" t="n">
        <f aca="false">R283+Q284</f>
        <v>0</v>
      </c>
      <c r="S284" s="283" t="n">
        <f aca="false">IF(Q284=0,0,R284)</f>
        <v>0</v>
      </c>
      <c r="T284" s="283" t="n">
        <f aca="false">IF(N284=1,1,0)</f>
        <v>0</v>
      </c>
      <c r="U284" s="283" t="n">
        <f aca="false">U283+T284</f>
        <v>70</v>
      </c>
      <c r="V284" s="283" t="n">
        <f aca="false">IF(T284=0,0,U284)</f>
        <v>0</v>
      </c>
    </row>
    <row r="285" customFormat="false" ht="64.9" hidden="false" customHeight="false" outlineLevel="0" collapsed="false">
      <c r="A285" s="311" t="str">
        <f aca="false">Questions!$A285</f>
        <v>DRPV-06</v>
      </c>
      <c r="B285" s="311" t="str">
        <f aca="false">LEFT(A285,4)</f>
        <v>DRPV</v>
      </c>
      <c r="C285" s="311" t="str">
        <f aca="false">VLOOKUP($A285,Questions!$A$3:$L$333,2,0)&amp;""</f>
        <v>Do you retain personal information for only as long as necessary to fulfill the stated purpose(s) or as required by law or regulation and thereafter appropriately dispose of such information?</v>
      </c>
      <c r="D285" s="311" t="str">
        <f aca="false">VLOOKUP($A285,Questions!$A$3:$L$333,11,0)&amp;""</f>
        <v/>
      </c>
      <c r="E285" s="311" t="str">
        <f aca="false">VLOOKUP($A285,Questions!$A$3:$L$333,12,0)&amp;""</f>
        <v>Privacy</v>
      </c>
      <c r="F285" s="311" t="str">
        <f aca="false">VLOOKUP($A285,'Privacy Analyst Evaluation'!$A$46:$K$120,3,0)&amp;""</f>
        <v>No</v>
      </c>
      <c r="G285" s="311" t="str">
        <f aca="false">VLOOKUP($A285,'Privacy Analyst Evaluation'!$A$46:$K$120,7,0)&amp;""</f>
        <v>Yes</v>
      </c>
      <c r="H285" s="311" t="str">
        <f aca="false">VLOOKUP($A285,'Privacy Analyst Evaluation'!$A$46:$K$120,8,0)&amp;""</f>
        <v/>
      </c>
      <c r="I285" s="311" t="str">
        <f aca="false">VLOOKUP($A285,'Privacy Analyst Evaluation'!$A$46:$K$120,9,0)&amp;""</f>
        <v>Standard Importance</v>
      </c>
      <c r="J285" s="311" t="str">
        <f aca="false">VLOOKUP($A285,'Privacy Analyst Evaluation'!$A$46:$K$120,10,0)&amp;""</f>
        <v/>
      </c>
      <c r="K285" s="311" t="n">
        <f aca="false">IF($I285="Critical Importance",20,IF($I285="Minor Importance",5,10))</f>
        <v>10</v>
      </c>
      <c r="L285" s="283" t="n">
        <f aca="false">IF($E285="Not Scored", "N/A",IF(AND($D285='Auto Responses'!$J$27,$H285=""),"N/A",IF(AND($D285='Auto Responses'!$J$27,$H285='Auto Responses'!$J$7),1,IF(AND($D285='Auto Responses'!$J$27,$H285='Auto Responses'!$J$8),0,IF(OR($F285=$G285,$H285='Auto Responses'!$J$7),1,0)))))</f>
        <v>0</v>
      </c>
      <c r="M285" s="311" t="str">
        <f aca="false">VLOOKUP($A285,'Privacy Analyst Evaluation'!$A$46:$K$120,10,0)&amp;""</f>
        <v/>
      </c>
      <c r="N285" s="311" t="n">
        <f aca="false">IF($J285="Critical Importance",1,IF(AND($J285="",$I285="Critical Importance"),1,0))</f>
        <v>0</v>
      </c>
      <c r="O285" s="283" t="str">
        <f aca="false">IF(OR($E285="Not Scored",$F285="N/A",$F$24="No"),"N/A",IF($J285="",$K285,IF($J285="Minor Importance",5,IF($J285="Standard Importance",10,IF($J285="Critical Importance",20,0)))))</f>
        <v>N/A</v>
      </c>
      <c r="P285" s="283" t="str">
        <f aca="false">IF(OR($O285="N/A",$L285="N/A"),"N/A",$O285*$L285)</f>
        <v>N/A</v>
      </c>
      <c r="Q285" s="283" t="n">
        <f aca="false">IF(M285="TRUE",1,0)</f>
        <v>0</v>
      </c>
      <c r="R285" s="283" t="n">
        <f aca="false">R284+Q285</f>
        <v>0</v>
      </c>
      <c r="S285" s="283" t="n">
        <f aca="false">IF(Q285=0,0,R285)</f>
        <v>0</v>
      </c>
      <c r="T285" s="283" t="n">
        <f aca="false">IF(N285=1,1,0)</f>
        <v>0</v>
      </c>
      <c r="U285" s="283" t="n">
        <f aca="false">U284+T285</f>
        <v>70</v>
      </c>
      <c r="V285" s="283" t="n">
        <f aca="false">IF(T285=0,0,U285)</f>
        <v>0</v>
      </c>
    </row>
    <row r="286" customFormat="false" ht="39.55" hidden="false" customHeight="false" outlineLevel="0" collapsed="false">
      <c r="A286" s="311" t="str">
        <f aca="false">Questions!$A286</f>
        <v>DRPV-07</v>
      </c>
      <c r="B286" s="311" t="str">
        <f aca="false">LEFT(A286,4)</f>
        <v>DRPV</v>
      </c>
      <c r="C286" s="311" t="str">
        <f aca="false">VLOOKUP($A286,Questions!$A$3:$L$333,2,0)&amp;""</f>
        <v>Do you provide individuals with access to their personal information for review and update (i.e., data subject rights)?</v>
      </c>
      <c r="D286" s="311" t="str">
        <f aca="false">VLOOKUP($A286,Questions!$A$3:$L$333,11,0)&amp;""</f>
        <v/>
      </c>
      <c r="E286" s="311" t="str">
        <f aca="false">VLOOKUP($A286,Questions!$A$3:$L$333,12,0)&amp;""</f>
        <v>Privacy</v>
      </c>
      <c r="F286" s="311" t="str">
        <f aca="false">VLOOKUP($A286,'Privacy Analyst Evaluation'!$A$46:$K$120,3,0)&amp;""</f>
        <v>No</v>
      </c>
      <c r="G286" s="311" t="str">
        <f aca="false">VLOOKUP($A286,'Privacy Analyst Evaluation'!$A$46:$K$120,7,0)&amp;""</f>
        <v>Yes</v>
      </c>
      <c r="H286" s="311" t="str">
        <f aca="false">VLOOKUP($A286,'Privacy Analyst Evaluation'!$A$46:$K$120,8,0)&amp;""</f>
        <v/>
      </c>
      <c r="I286" s="311" t="str">
        <f aca="false">VLOOKUP($A286,'Privacy Analyst Evaluation'!$A$46:$K$120,9,0)&amp;""</f>
        <v>Standard Importance</v>
      </c>
      <c r="J286" s="311" t="str">
        <f aca="false">VLOOKUP($A286,'Privacy Analyst Evaluation'!$A$46:$K$120,10,0)&amp;""</f>
        <v/>
      </c>
      <c r="K286" s="311" t="n">
        <f aca="false">IF($I286="Critical Importance",20,IF($I286="Minor Importance",5,10))</f>
        <v>10</v>
      </c>
      <c r="L286" s="283" t="n">
        <f aca="false">IF($E286="Not Scored", "N/A",IF(AND($D286='Auto Responses'!$J$27,$H286=""),"N/A",IF(AND($D286='Auto Responses'!$J$27,$H286='Auto Responses'!$J$7),1,IF(AND($D286='Auto Responses'!$J$27,$H286='Auto Responses'!$J$8),0,IF(OR($F286=$G286,$H286='Auto Responses'!$J$7),1,0)))))</f>
        <v>0</v>
      </c>
      <c r="M286" s="311" t="str">
        <f aca="false">VLOOKUP($A286,'Privacy Analyst Evaluation'!$A$46:$K$120,10,0)&amp;""</f>
        <v/>
      </c>
      <c r="N286" s="311" t="n">
        <f aca="false">IF($J286="Critical Importance",1,IF(AND($J286="",$I286="Critical Importance"),1,0))</f>
        <v>0</v>
      </c>
      <c r="O286" s="283" t="str">
        <f aca="false">IF(OR($E286="Not Scored",$F286="N/A",$F$24="No"),"N/A",IF($J286="",$K286,IF($J286="Minor Importance",5,IF($J286="Standard Importance",10,IF($J286="Critical Importance",20,0)))))</f>
        <v>N/A</v>
      </c>
      <c r="P286" s="283" t="str">
        <f aca="false">IF(OR($O286="N/A",$L286="N/A"),"N/A",$O286*$L286)</f>
        <v>N/A</v>
      </c>
      <c r="Q286" s="283" t="n">
        <f aca="false">IF(M286="TRUE",1,0)</f>
        <v>0</v>
      </c>
      <c r="R286" s="283" t="n">
        <f aca="false">R285+Q286</f>
        <v>0</v>
      </c>
      <c r="S286" s="283" t="n">
        <f aca="false">IF(Q286=0,0,R286)</f>
        <v>0</v>
      </c>
      <c r="T286" s="283" t="n">
        <f aca="false">IF(N286=1,1,0)</f>
        <v>0</v>
      </c>
      <c r="U286" s="283" t="n">
        <f aca="false">U285+T286</f>
        <v>70</v>
      </c>
      <c r="V286" s="283" t="n">
        <f aca="false">IF(T286=0,0,U286)</f>
        <v>0</v>
      </c>
    </row>
    <row r="287" customFormat="false" ht="52.2" hidden="false" customHeight="false" outlineLevel="0" collapsed="false">
      <c r="A287" s="311" t="str">
        <f aca="false">Questions!$A287</f>
        <v>DRPV-08</v>
      </c>
      <c r="B287" s="311" t="str">
        <f aca="false">LEFT(A287,4)</f>
        <v>DRPV</v>
      </c>
      <c r="C287" s="311" t="str">
        <f aca="false">VLOOKUP($A287,Questions!$A$3:$L$333,2,0)&amp;""</f>
        <v>Do you disclose personal information to third parties only for the purpose(s) identified in the privacy notice or with the implicit or explicit consent of the individual?</v>
      </c>
      <c r="D287" s="311" t="str">
        <f aca="false">VLOOKUP($A287,Questions!$A$3:$L$333,11,0)&amp;""</f>
        <v/>
      </c>
      <c r="E287" s="311" t="str">
        <f aca="false">VLOOKUP($A287,Questions!$A$3:$L$333,12,0)&amp;""</f>
        <v>Privacy</v>
      </c>
      <c r="F287" s="311" t="str">
        <f aca="false">VLOOKUP($A287,'Privacy Analyst Evaluation'!$A$46:$K$120,3,0)&amp;""</f>
        <v>No</v>
      </c>
      <c r="G287" s="311" t="str">
        <f aca="false">VLOOKUP($A287,'Privacy Analyst Evaluation'!$A$46:$K$120,7,0)&amp;""</f>
        <v>Yes</v>
      </c>
      <c r="H287" s="311" t="str">
        <f aca="false">VLOOKUP($A287,'Privacy Analyst Evaluation'!$A$46:$K$120,8,0)&amp;""</f>
        <v/>
      </c>
      <c r="I287" s="311" t="str">
        <f aca="false">VLOOKUP($A287,'Privacy Analyst Evaluation'!$A$46:$K$120,9,0)&amp;""</f>
        <v>Standard Importance</v>
      </c>
      <c r="J287" s="311" t="str">
        <f aca="false">VLOOKUP($A287,'Privacy Analyst Evaluation'!$A$46:$K$120,10,0)&amp;""</f>
        <v/>
      </c>
      <c r="K287" s="311" t="n">
        <f aca="false">IF($I287="Critical Importance",20,IF($I287="Minor Importance",5,10))</f>
        <v>10</v>
      </c>
      <c r="L287" s="283" t="n">
        <f aca="false">IF($E287="Not Scored", "N/A",IF(AND($D287='Auto Responses'!$J$27,$H287=""),"N/A",IF(AND($D287='Auto Responses'!$J$27,$H287='Auto Responses'!$J$7),1,IF(AND($D287='Auto Responses'!$J$27,$H287='Auto Responses'!$J$8),0,IF(OR($F287=$G287,$H287='Auto Responses'!$J$7),1,0)))))</f>
        <v>0</v>
      </c>
      <c r="M287" s="311" t="str">
        <f aca="false">VLOOKUP($A287,'Privacy Analyst Evaluation'!$A$46:$K$120,10,0)&amp;""</f>
        <v/>
      </c>
      <c r="N287" s="311" t="n">
        <f aca="false">IF($J287="Critical Importance",1,IF(AND($J287="",$I287="Critical Importance"),1,0))</f>
        <v>0</v>
      </c>
      <c r="O287" s="283" t="str">
        <f aca="false">IF(OR($E287="Not Scored",$F287="N/A",$F$24="No"),"N/A",IF($J287="",$K287,IF($J287="Minor Importance",5,IF($J287="Standard Importance",10,IF($J287="Critical Importance",20,0)))))</f>
        <v>N/A</v>
      </c>
      <c r="P287" s="283" t="str">
        <f aca="false">IF(OR($O287="N/A",$L287="N/A"),"N/A",$O287*$L287)</f>
        <v>N/A</v>
      </c>
      <c r="Q287" s="283" t="n">
        <f aca="false">IF(M287="TRUE",1,0)</f>
        <v>0</v>
      </c>
      <c r="R287" s="283" t="n">
        <f aca="false">R286+Q287</f>
        <v>0</v>
      </c>
      <c r="S287" s="283" t="n">
        <f aca="false">IF(Q287=0,0,R287)</f>
        <v>0</v>
      </c>
      <c r="T287" s="283" t="n">
        <f aca="false">IF(N287=1,1,0)</f>
        <v>0</v>
      </c>
      <c r="U287" s="283" t="n">
        <f aca="false">U286+T287</f>
        <v>70</v>
      </c>
      <c r="V287" s="283" t="n">
        <f aca="false">IF(T287=0,0,U287)</f>
        <v>0</v>
      </c>
    </row>
    <row r="288" customFormat="false" ht="39.55" hidden="false" customHeight="false" outlineLevel="0" collapsed="false">
      <c r="A288" s="311" t="str">
        <f aca="false">Questions!$A288</f>
        <v>DRPV-09</v>
      </c>
      <c r="B288" s="311" t="str">
        <f aca="false">LEFT(A288,4)</f>
        <v>DRPV</v>
      </c>
      <c r="C288" s="311" t="str">
        <f aca="false">VLOOKUP($A288,Questions!$A$3:$L$333,2,0)&amp;""</f>
        <v>Do you protect personal information against unauthorized access (both physical and logical)?</v>
      </c>
      <c r="D288" s="311" t="str">
        <f aca="false">VLOOKUP($A288,Questions!$A$3:$L$333,11,0)&amp;""</f>
        <v/>
      </c>
      <c r="E288" s="311" t="str">
        <f aca="false">VLOOKUP($A288,Questions!$A$3:$L$333,12,0)&amp;""</f>
        <v>Privacy</v>
      </c>
      <c r="F288" s="311" t="str">
        <f aca="false">VLOOKUP($A288,'Privacy Analyst Evaluation'!$A$46:$K$120,3,0)&amp;""</f>
        <v>No</v>
      </c>
      <c r="G288" s="311" t="str">
        <f aca="false">VLOOKUP($A288,'Privacy Analyst Evaluation'!$A$46:$K$120,7,0)&amp;""</f>
        <v>Yes</v>
      </c>
      <c r="H288" s="311" t="str">
        <f aca="false">VLOOKUP($A288,'Privacy Analyst Evaluation'!$A$46:$K$120,8,0)&amp;""</f>
        <v/>
      </c>
      <c r="I288" s="311" t="str">
        <f aca="false">VLOOKUP($A288,'Privacy Analyst Evaluation'!$A$46:$K$120,9,0)&amp;""</f>
        <v>Standard Importance</v>
      </c>
      <c r="J288" s="311" t="str">
        <f aca="false">VLOOKUP($A288,'Privacy Analyst Evaluation'!$A$46:$K$120,10,0)&amp;""</f>
        <v/>
      </c>
      <c r="K288" s="311" t="n">
        <f aca="false">IF($I288="Critical Importance",20,IF($I288="Minor Importance",5,10))</f>
        <v>10</v>
      </c>
      <c r="L288" s="283" t="n">
        <f aca="false">IF($E288="Not Scored", "N/A",IF(AND($D288='Auto Responses'!$J$27,$H288=""),"N/A",IF(AND($D288='Auto Responses'!$J$27,$H288='Auto Responses'!$J$7),1,IF(AND($D288='Auto Responses'!$J$27,$H288='Auto Responses'!$J$8),0,IF(OR($F288=$G288,$H288='Auto Responses'!$J$7),1,0)))))</f>
        <v>0</v>
      </c>
      <c r="M288" s="311" t="str">
        <f aca="false">VLOOKUP($A288,'Privacy Analyst Evaluation'!$A$46:$K$120,10,0)&amp;""</f>
        <v/>
      </c>
      <c r="N288" s="311" t="n">
        <f aca="false">IF($J288="Critical Importance",1,IF(AND($J288="",$I288="Critical Importance"),1,0))</f>
        <v>0</v>
      </c>
      <c r="O288" s="283" t="str">
        <f aca="false">IF(OR($E288="Not Scored",$F288="N/A",$F$24="No"),"N/A",IF($J288="",$K288,IF($J288="Minor Importance",5,IF($J288="Standard Importance",10,IF($J288="Critical Importance",20,0)))))</f>
        <v>N/A</v>
      </c>
      <c r="P288" s="283" t="str">
        <f aca="false">IF(OR($O288="N/A",$L288="N/A"),"N/A",$O288*$L288)</f>
        <v>N/A</v>
      </c>
      <c r="Q288" s="283" t="n">
        <f aca="false">IF(M288="TRUE",1,0)</f>
        <v>0</v>
      </c>
      <c r="R288" s="283" t="n">
        <f aca="false">R287+Q288</f>
        <v>0</v>
      </c>
      <c r="S288" s="283" t="n">
        <f aca="false">IF(Q288=0,0,R288)</f>
        <v>0</v>
      </c>
      <c r="T288" s="283" t="n">
        <f aca="false">IF(N288=1,1,0)</f>
        <v>0</v>
      </c>
      <c r="U288" s="283" t="n">
        <f aca="false">U287+T288</f>
        <v>70</v>
      </c>
      <c r="V288" s="283" t="n">
        <f aca="false">IF(T288=0,0,U288)</f>
        <v>0</v>
      </c>
    </row>
    <row r="289" customFormat="false" ht="39.55" hidden="false" customHeight="false" outlineLevel="0" collapsed="false">
      <c r="A289" s="311" t="str">
        <f aca="false">Questions!$A289</f>
        <v>DRPV-10</v>
      </c>
      <c r="B289" s="311" t="str">
        <f aca="false">LEFT(A289,4)</f>
        <v>DRPV</v>
      </c>
      <c r="C289" s="311" t="str">
        <f aca="false">VLOOKUP($A289,Questions!$A$3:$L$333,2,0)&amp;""</f>
        <v>Do you maintain accurate, complete, and relevant personal information for the purposes identified in the privacy notice?</v>
      </c>
      <c r="D289" s="311" t="str">
        <f aca="false">VLOOKUP($A289,Questions!$A$3:$L$333,11,0)&amp;""</f>
        <v/>
      </c>
      <c r="E289" s="311" t="str">
        <f aca="false">VLOOKUP($A289,Questions!$A$3:$L$333,12,0)&amp;""</f>
        <v>Privacy</v>
      </c>
      <c r="F289" s="311" t="str">
        <f aca="false">VLOOKUP($A289,'Privacy Analyst Evaluation'!$A$46:$K$120,3,0)&amp;""</f>
        <v>No</v>
      </c>
      <c r="G289" s="311" t="str">
        <f aca="false">VLOOKUP($A289,'Privacy Analyst Evaluation'!$A$46:$K$120,7,0)&amp;""</f>
        <v>Yes</v>
      </c>
      <c r="H289" s="311" t="str">
        <f aca="false">VLOOKUP($A289,'Privacy Analyst Evaluation'!$A$46:$K$120,8,0)&amp;""</f>
        <v/>
      </c>
      <c r="I289" s="311" t="str">
        <f aca="false">VLOOKUP($A289,'Privacy Analyst Evaluation'!$A$46:$K$120,9,0)&amp;""</f>
        <v>Standard Importance</v>
      </c>
      <c r="J289" s="311" t="str">
        <f aca="false">VLOOKUP($A289,'Privacy Analyst Evaluation'!$A$46:$K$120,10,0)&amp;""</f>
        <v/>
      </c>
      <c r="K289" s="311" t="n">
        <f aca="false">IF($I289="Critical Importance",20,IF($I289="Minor Importance",5,10))</f>
        <v>10</v>
      </c>
      <c r="L289" s="283" t="n">
        <f aca="false">IF($E289="Not Scored", "N/A",IF(AND($D289='Auto Responses'!$J$27,$H289=""),"N/A",IF(AND($D289='Auto Responses'!$J$27,$H289='Auto Responses'!$J$7),1,IF(AND($D289='Auto Responses'!$J$27,$H289='Auto Responses'!$J$8),0,IF(OR($F289=$G289,$H289='Auto Responses'!$J$7),1,0)))))</f>
        <v>0</v>
      </c>
      <c r="M289" s="311" t="str">
        <f aca="false">VLOOKUP($A289,'Privacy Analyst Evaluation'!$A$46:$K$120,10,0)&amp;""</f>
        <v/>
      </c>
      <c r="N289" s="311" t="n">
        <f aca="false">IF($J289="Critical Importance",1,IF(AND($J289="",$I289="Critical Importance"),1,0))</f>
        <v>0</v>
      </c>
      <c r="O289" s="283" t="str">
        <f aca="false">IF(OR($E289="Not Scored",$F289="N/A",$F$24="No"),"N/A",IF($J289="",$K289,IF($J289="Minor Importance",5,IF($J289="Standard Importance",10,IF($J289="Critical Importance",20,0)))))</f>
        <v>N/A</v>
      </c>
      <c r="P289" s="283" t="str">
        <f aca="false">IF(OR($O289="N/A",$L289="N/A"),"N/A",$O289*$L289)</f>
        <v>N/A</v>
      </c>
      <c r="Q289" s="283" t="n">
        <f aca="false">IF(M289="TRUE",1,0)</f>
        <v>0</v>
      </c>
      <c r="R289" s="283" t="n">
        <f aca="false">R288+Q289</f>
        <v>0</v>
      </c>
      <c r="S289" s="283" t="n">
        <f aca="false">IF(Q289=0,0,R289)</f>
        <v>0</v>
      </c>
      <c r="T289" s="283" t="n">
        <f aca="false">IF(N289=1,1,0)</f>
        <v>0</v>
      </c>
      <c r="U289" s="283" t="n">
        <f aca="false">U288+T289</f>
        <v>70</v>
      </c>
      <c r="V289" s="283" t="n">
        <f aca="false">IF(T289=0,0,U289)</f>
        <v>0</v>
      </c>
    </row>
    <row r="290" customFormat="false" ht="39.55" hidden="false" customHeight="false" outlineLevel="0" collapsed="false">
      <c r="A290" s="311" t="str">
        <f aca="false">Questions!$A290</f>
        <v>DRPV-11</v>
      </c>
      <c r="B290" s="311" t="str">
        <f aca="false">LEFT(A290,4)</f>
        <v>DRPV</v>
      </c>
      <c r="C290" s="311" t="str">
        <f aca="false">VLOOKUP($A290,Questions!$A$3:$L$333,2,0)&amp;""</f>
        <v>Do you have procedures to address privacy-related noncompliance complaints and disputes?</v>
      </c>
      <c r="D290" s="311" t="str">
        <f aca="false">VLOOKUP($A290,Questions!$A$3:$L$333,11,0)&amp;""</f>
        <v/>
      </c>
      <c r="E290" s="311" t="str">
        <f aca="false">VLOOKUP($A290,Questions!$A$3:$L$333,12,0)&amp;""</f>
        <v>Privacy</v>
      </c>
      <c r="F290" s="311" t="str">
        <f aca="false">VLOOKUP($A290,'Privacy Analyst Evaluation'!$A$46:$K$120,3,0)&amp;""</f>
        <v>No</v>
      </c>
      <c r="G290" s="311" t="str">
        <f aca="false">VLOOKUP($A290,'Privacy Analyst Evaluation'!$A$46:$K$120,7,0)&amp;""</f>
        <v>Yes</v>
      </c>
      <c r="H290" s="311" t="str">
        <f aca="false">VLOOKUP($A290,'Privacy Analyst Evaluation'!$A$46:$K$120,8,0)&amp;""</f>
        <v/>
      </c>
      <c r="I290" s="311" t="str">
        <f aca="false">VLOOKUP($A290,'Privacy Analyst Evaluation'!$A$46:$K$120,9,0)&amp;""</f>
        <v>Standard Importance</v>
      </c>
      <c r="J290" s="311" t="str">
        <f aca="false">VLOOKUP($A290,'Privacy Analyst Evaluation'!$A$46:$K$120,10,0)&amp;""</f>
        <v/>
      </c>
      <c r="K290" s="311" t="n">
        <f aca="false">IF($I290="Critical Importance",20,IF($I290="Minor Importance",5,10))</f>
        <v>10</v>
      </c>
      <c r="L290" s="283" t="n">
        <f aca="false">IF($E290="Not Scored", "N/A",IF(AND($D290='Auto Responses'!$J$27,$H290=""),"N/A",IF(AND($D290='Auto Responses'!$J$27,$H290='Auto Responses'!$J$7),1,IF(AND($D290='Auto Responses'!$J$27,$H290='Auto Responses'!$J$8),0,IF(OR($F290=$G290,$H290='Auto Responses'!$J$7),1,0)))))</f>
        <v>0</v>
      </c>
      <c r="M290" s="311" t="str">
        <f aca="false">VLOOKUP($A290,'Privacy Analyst Evaluation'!$A$46:$K$120,10,0)&amp;""</f>
        <v/>
      </c>
      <c r="N290" s="311" t="n">
        <f aca="false">IF($J290="Critical Importance",1,IF(AND($J290="",$I290="Critical Importance"),1,0))</f>
        <v>0</v>
      </c>
      <c r="O290" s="283" t="str">
        <f aca="false">IF(OR($E290="Not Scored",$F290="N/A",$F$24="No"),"N/A",IF($J290="",$K290,IF($J290="Minor Importance",5,IF($J290="Standard Importance",10,IF($J290="Critical Importance",20,0)))))</f>
        <v>N/A</v>
      </c>
      <c r="P290" s="283" t="str">
        <f aca="false">IF(OR($O290="N/A",$L290="N/A"),"N/A",$O290*$L290)</f>
        <v>N/A</v>
      </c>
      <c r="Q290" s="283" t="n">
        <f aca="false">IF(M290="TRUE",1,0)</f>
        <v>0</v>
      </c>
      <c r="R290" s="283" t="n">
        <f aca="false">R289+Q290</f>
        <v>0</v>
      </c>
      <c r="S290" s="283" t="n">
        <f aca="false">IF(Q290=0,0,R290)</f>
        <v>0</v>
      </c>
      <c r="T290" s="283" t="n">
        <f aca="false">IF(N290=1,1,0)</f>
        <v>0</v>
      </c>
      <c r="U290" s="283" t="n">
        <f aca="false">U289+T290</f>
        <v>70</v>
      </c>
      <c r="V290" s="283" t="n">
        <f aca="false">IF(T290=0,0,U290)</f>
        <v>0</v>
      </c>
    </row>
    <row r="291" customFormat="false" ht="26.85" hidden="false" customHeight="false" outlineLevel="0" collapsed="false">
      <c r="A291" s="311" t="str">
        <f aca="false">Questions!$A291</f>
        <v>DRPV-12</v>
      </c>
      <c r="B291" s="311" t="str">
        <f aca="false">LEFT(A291,4)</f>
        <v>DRPV</v>
      </c>
      <c r="C291" s="311" t="str">
        <f aca="false">VLOOKUP($A291,Questions!$A$3:$L$333,2,0)&amp;""</f>
        <v>Do you "anonymize," "de-identify," or otherwise mask personal data?</v>
      </c>
      <c r="D291" s="311" t="str">
        <f aca="false">VLOOKUP($A291,Questions!$A$3:$L$333,11,0)&amp;""</f>
        <v/>
      </c>
      <c r="E291" s="311" t="str">
        <f aca="false">VLOOKUP($A291,Questions!$A$3:$L$333,12,0)&amp;""</f>
        <v>Privacy</v>
      </c>
      <c r="F291" s="311" t="str">
        <f aca="false">VLOOKUP($A291,'Privacy Analyst Evaluation'!$A$46:$K$120,3,0)&amp;""</f>
        <v>No</v>
      </c>
      <c r="G291" s="311" t="str">
        <f aca="false">VLOOKUP($A291,'Privacy Analyst Evaluation'!$A$46:$K$120,7,0)&amp;""</f>
        <v>Yes</v>
      </c>
      <c r="H291" s="311" t="str">
        <f aca="false">VLOOKUP($A291,'Privacy Analyst Evaluation'!$A$46:$K$120,8,0)&amp;""</f>
        <v/>
      </c>
      <c r="I291" s="311" t="str">
        <f aca="false">VLOOKUP($A291,'Privacy Analyst Evaluation'!$A$46:$K$120,9,0)&amp;""</f>
        <v>Standard Importance</v>
      </c>
      <c r="J291" s="311" t="str">
        <f aca="false">VLOOKUP($A291,'Privacy Analyst Evaluation'!$A$46:$K$120,10,0)&amp;""</f>
        <v/>
      </c>
      <c r="K291" s="311" t="n">
        <f aca="false">IF($I291="Critical Importance",20,IF($I291="Minor Importance",5,10))</f>
        <v>10</v>
      </c>
      <c r="L291" s="283" t="n">
        <f aca="false">IF($E291="Not Scored", "N/A",IF(AND($D291='Auto Responses'!$J$27,$H291=""),"N/A",IF(AND($D291='Auto Responses'!$J$27,$H291='Auto Responses'!$J$7),1,IF(AND($D291='Auto Responses'!$J$27,$H291='Auto Responses'!$J$8),0,IF(OR($F291=$G291,$H291='Auto Responses'!$J$7),1,0)))))</f>
        <v>0</v>
      </c>
      <c r="M291" s="311" t="str">
        <f aca="false">VLOOKUP($A291,'Privacy Analyst Evaluation'!$A$46:$K$120,10,0)&amp;""</f>
        <v/>
      </c>
      <c r="N291" s="311" t="n">
        <f aca="false">IF($J291="Critical Importance",1,IF(AND($J291="",$I291="Critical Importance"),1,0))</f>
        <v>0</v>
      </c>
      <c r="O291" s="283" t="str">
        <f aca="false">IF(OR($E291="Not Scored",$F291="N/A",$F$24="No"),"N/A",IF($J291="",$K291,IF($J291="Minor Importance",5,IF($J291="Standard Importance",10,IF($J291="Critical Importance",20,0)))))</f>
        <v>N/A</v>
      </c>
      <c r="P291" s="283" t="str">
        <f aca="false">IF(OR($O291="N/A",$L291="N/A"),"N/A",$O291*$L291)</f>
        <v>N/A</v>
      </c>
      <c r="Q291" s="283" t="n">
        <f aca="false">IF(M291="TRUE",1,0)</f>
        <v>0</v>
      </c>
      <c r="R291" s="283" t="n">
        <f aca="false">R290+Q291</f>
        <v>0</v>
      </c>
      <c r="S291" s="283" t="n">
        <f aca="false">IF(Q291=0,0,R291)</f>
        <v>0</v>
      </c>
      <c r="T291" s="283" t="n">
        <f aca="false">IF(N291=1,1,0)</f>
        <v>0</v>
      </c>
      <c r="U291" s="283" t="n">
        <f aca="false">U290+T291</f>
        <v>70</v>
      </c>
      <c r="V291" s="283" t="n">
        <f aca="false">IF(T291=0,0,U291)</f>
        <v>0</v>
      </c>
    </row>
    <row r="292" customFormat="false" ht="90.25" hidden="false" customHeight="false" outlineLevel="0" collapsed="false">
      <c r="A292" s="311" t="str">
        <f aca="false">Questions!$A292</f>
        <v>DRPV-13</v>
      </c>
      <c r="B292" s="311" t="str">
        <f aca="false">LEFT(A292,4)</f>
        <v>DRPV</v>
      </c>
      <c r="C292" s="311" t="str">
        <f aca="false">VLOOKUP($A292,Questions!$A$3:$L$333,2,0)&amp;""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D292" s="311" t="str">
        <f aca="false">VLOOKUP($A292,Questions!$A$3:$L$333,11,0)&amp;""</f>
        <v/>
      </c>
      <c r="E292" s="311" t="str">
        <f aca="false">VLOOKUP($A292,Questions!$A$3:$L$333,12,0)&amp;""</f>
        <v>Privacy</v>
      </c>
      <c r="F292" s="311" t="str">
        <f aca="false">VLOOKUP($A292,'Privacy Analyst Evaluation'!$A$46:$K$120,3,0)&amp;""</f>
        <v>No</v>
      </c>
      <c r="G292" s="311" t="str">
        <f aca="false">VLOOKUP($A292,'Privacy Analyst Evaluation'!$A$46:$K$120,7,0)&amp;""</f>
        <v>No</v>
      </c>
      <c r="H292" s="311" t="str">
        <f aca="false">VLOOKUP($A292,'Privacy Analyst Evaluation'!$A$46:$K$120,8,0)&amp;""</f>
        <v/>
      </c>
      <c r="I292" s="311" t="str">
        <f aca="false">VLOOKUP($A292,'Privacy Analyst Evaluation'!$A$46:$K$120,9,0)&amp;""</f>
        <v>Standard Importance</v>
      </c>
      <c r="J292" s="311" t="str">
        <f aca="false">VLOOKUP($A292,'Privacy Analyst Evaluation'!$A$46:$K$120,10,0)&amp;""</f>
        <v/>
      </c>
      <c r="K292" s="311" t="n">
        <f aca="false">IF($I292="Critical Importance",20,IF($I292="Minor Importance",5,10))</f>
        <v>10</v>
      </c>
      <c r="L292" s="283" t="n">
        <f aca="false">IF($E292="Not Scored", "N/A",IF(AND($D292='Auto Responses'!$J$27,$H292=""),"N/A",IF(AND($D292='Auto Responses'!$J$27,$H292='Auto Responses'!$J$7),1,IF(AND($D292='Auto Responses'!$J$27,$H292='Auto Responses'!$J$8),0,IF(OR($F292=$G292,$H292='Auto Responses'!$J$7),1,0)))))</f>
        <v>1</v>
      </c>
      <c r="M292" s="311" t="str">
        <f aca="false">VLOOKUP($A292,'Privacy Analyst Evaluation'!$A$46:$K$120,10,0)&amp;""</f>
        <v/>
      </c>
      <c r="N292" s="311" t="n">
        <f aca="false">IF($J292="Critical Importance",1,IF(AND($J292="",$I292="Critical Importance"),1,0))</f>
        <v>0</v>
      </c>
      <c r="O292" s="283" t="str">
        <f aca="false">IF(OR($E292="Not Scored",$F292="N/A",$F$24="No"),"N/A",IF($J292="",$K292,IF($J292="Minor Importance",5,IF($J292="Standard Importance",10,IF($J292="Critical Importance",20,0)))))</f>
        <v>N/A</v>
      </c>
      <c r="P292" s="283" t="str">
        <f aca="false">IF(OR($O292="N/A",$L292="N/A"),"N/A",$O292*$L292)</f>
        <v>N/A</v>
      </c>
      <c r="Q292" s="283" t="n">
        <f aca="false">IF(M292="TRUE",1,0)</f>
        <v>0</v>
      </c>
      <c r="R292" s="283" t="n">
        <f aca="false">R291+Q292</f>
        <v>0</v>
      </c>
      <c r="S292" s="283" t="n">
        <f aca="false">IF(Q292=0,0,R292)</f>
        <v>0</v>
      </c>
      <c r="T292" s="283" t="n">
        <f aca="false">IF(N292=1,1,0)</f>
        <v>0</v>
      </c>
      <c r="U292" s="283" t="n">
        <f aca="false">U291+T292</f>
        <v>70</v>
      </c>
      <c r="V292" s="283" t="n">
        <f aca="false">IF(T292=0,0,U292)</f>
        <v>0</v>
      </c>
    </row>
    <row r="293" customFormat="false" ht="39.55" hidden="false" customHeight="false" outlineLevel="0" collapsed="false">
      <c r="A293" s="311" t="str">
        <f aca="false">Questions!$A293</f>
        <v>DRPV-14</v>
      </c>
      <c r="B293" s="311" t="str">
        <f aca="false">LEFT(A293,4)</f>
        <v>DRPV</v>
      </c>
      <c r="C293" s="311" t="str">
        <f aca="false">VLOOKUP($A293,Questions!$A$3:$L$333,2,0)&amp;""</f>
        <v>Do you certify stop-processing requests, including any data that is processed by a third party on your behalf?</v>
      </c>
      <c r="D293" s="311" t="str">
        <f aca="false">VLOOKUP($A293,Questions!$A$3:$L$333,11,0)&amp;""</f>
        <v/>
      </c>
      <c r="E293" s="311" t="str">
        <f aca="false">VLOOKUP($A293,Questions!$A$3:$L$333,12,0)&amp;""</f>
        <v>Privacy</v>
      </c>
      <c r="F293" s="311" t="str">
        <f aca="false">VLOOKUP($A293,'Privacy Analyst Evaluation'!$A$46:$K$120,3,0)&amp;""</f>
        <v>No</v>
      </c>
      <c r="G293" s="311" t="str">
        <f aca="false">VLOOKUP($A293,'Privacy Analyst Evaluation'!$A$46:$K$120,7,0)&amp;""</f>
        <v>Yes</v>
      </c>
      <c r="H293" s="311" t="str">
        <f aca="false">VLOOKUP($A293,'Privacy Analyst Evaluation'!$A$46:$K$120,8,0)&amp;""</f>
        <v/>
      </c>
      <c r="I293" s="311" t="str">
        <f aca="false">VLOOKUP($A293,'Privacy Analyst Evaluation'!$A$46:$K$120,9,0)&amp;""</f>
        <v>Standard Importance</v>
      </c>
      <c r="J293" s="311" t="str">
        <f aca="false">VLOOKUP($A293,'Privacy Analyst Evaluation'!$A$46:$K$120,10,0)&amp;""</f>
        <v/>
      </c>
      <c r="K293" s="311" t="n">
        <f aca="false">IF($I293="Critical Importance",20,IF($I293="Minor Importance",5,10))</f>
        <v>10</v>
      </c>
      <c r="L293" s="283" t="n">
        <f aca="false">IF($E293="Not Scored", "N/A",IF(AND($D293='Auto Responses'!$J$27,$H293=""),"N/A",IF(AND($D293='Auto Responses'!$J$27,$H293='Auto Responses'!$J$7),1,IF(AND($D293='Auto Responses'!$J$27,$H293='Auto Responses'!$J$8),0,IF(OR($F293=$G293,$H293='Auto Responses'!$J$7),1,0)))))</f>
        <v>0</v>
      </c>
      <c r="M293" s="311" t="str">
        <f aca="false">VLOOKUP($A293,'Privacy Analyst Evaluation'!$A$46:$K$120,10,0)&amp;""</f>
        <v/>
      </c>
      <c r="N293" s="311" t="n">
        <f aca="false">IF($J293="Critical Importance",1,IF(AND($J293="",$I293="Critical Importance"),1,0))</f>
        <v>0</v>
      </c>
      <c r="O293" s="283" t="str">
        <f aca="false">IF(OR($E293="Not Scored",$F293="N/A",$F$24="No"),"N/A",IF($J293="",$K293,IF($J293="Minor Importance",5,IF($J293="Standard Importance",10,IF($J293="Critical Importance",20,0)))))</f>
        <v>N/A</v>
      </c>
      <c r="P293" s="283" t="str">
        <f aca="false">IF(OR($O293="N/A",$L293="N/A"),"N/A",$O293*$L293)</f>
        <v>N/A</v>
      </c>
      <c r="Q293" s="283" t="n">
        <f aca="false">IF(M293="TRUE",1,0)</f>
        <v>0</v>
      </c>
      <c r="R293" s="283" t="n">
        <f aca="false">R292+Q293</f>
        <v>0</v>
      </c>
      <c r="S293" s="283" t="n">
        <f aca="false">IF(Q293=0,0,R293)</f>
        <v>0</v>
      </c>
      <c r="T293" s="283" t="n">
        <f aca="false">IF(N293=1,1,0)</f>
        <v>0</v>
      </c>
      <c r="U293" s="283" t="n">
        <f aca="false">U292+T293</f>
        <v>70</v>
      </c>
      <c r="V293" s="283" t="n">
        <f aca="false">IF(T293=0,0,U293)</f>
        <v>0</v>
      </c>
    </row>
    <row r="294" customFormat="false" ht="26.85" hidden="false" customHeight="false" outlineLevel="0" collapsed="false">
      <c r="A294" s="311" t="str">
        <f aca="false">Questions!$A294</f>
        <v>DRPV-15</v>
      </c>
      <c r="B294" s="311" t="str">
        <f aca="false">LEFT(A294,4)</f>
        <v>DRPV</v>
      </c>
      <c r="C294" s="311" t="str">
        <f aca="false">VLOOKUP($A294,Questions!$A$3:$L$333,2,0)&amp;""</f>
        <v>Do you have a process to review code for ethical considerations?</v>
      </c>
      <c r="D294" s="311" t="str">
        <f aca="false">VLOOKUP($A294,Questions!$A$3:$L$333,11,0)&amp;""</f>
        <v/>
      </c>
      <c r="E294" s="311" t="str">
        <f aca="false">VLOOKUP($A294,Questions!$A$3:$L$333,12,0)&amp;""</f>
        <v>Privacy</v>
      </c>
      <c r="F294" s="311" t="str">
        <f aca="false">VLOOKUP($A294,'Privacy Analyst Evaluation'!$A$46:$K$120,3,0)&amp;""</f>
        <v>No</v>
      </c>
      <c r="G294" s="311" t="str">
        <f aca="false">VLOOKUP($A294,'Privacy Analyst Evaluation'!$A$46:$K$120,7,0)&amp;""</f>
        <v>Yes</v>
      </c>
      <c r="H294" s="311" t="str">
        <f aca="false">VLOOKUP($A294,'Privacy Analyst Evaluation'!$A$46:$K$120,8,0)&amp;""</f>
        <v/>
      </c>
      <c r="I294" s="311" t="str">
        <f aca="false">VLOOKUP($A294,'Privacy Analyst Evaluation'!$A$46:$K$120,9,0)&amp;""</f>
        <v>Standard Importance</v>
      </c>
      <c r="J294" s="311" t="str">
        <f aca="false">VLOOKUP($A294,'Privacy Analyst Evaluation'!$A$46:$K$120,10,0)&amp;""</f>
        <v/>
      </c>
      <c r="K294" s="311" t="n">
        <f aca="false">IF($I294="Critical Importance",20,IF($I294="Minor Importance",5,10))</f>
        <v>10</v>
      </c>
      <c r="L294" s="283" t="n">
        <f aca="false">IF($E294="Not Scored", "N/A",IF(AND($D294='Auto Responses'!$J$27,$H294=""),"N/A",IF(AND($D294='Auto Responses'!$J$27,$H294='Auto Responses'!$J$7),1,IF(AND($D294='Auto Responses'!$J$27,$H294='Auto Responses'!$J$8),0,IF(OR($F294=$G294,$H294='Auto Responses'!$J$7),1,0)))))</f>
        <v>0</v>
      </c>
      <c r="M294" s="311" t="str">
        <f aca="false">VLOOKUP($A294,'Privacy Analyst Evaluation'!$A$46:$K$120,10,0)&amp;""</f>
        <v/>
      </c>
      <c r="N294" s="311" t="n">
        <f aca="false">IF($J294="Critical Importance",1,IF(AND($J294="",$I294="Critical Importance"),1,0))</f>
        <v>0</v>
      </c>
      <c r="O294" s="283" t="str">
        <f aca="false">IF(OR($E294="Not Scored",$F$24="No"),"N/A",IF($J294="",$K294,IF($J294="Minor Importance",5,IF($J294="Standard Importance",10,IF($J294="Critical Importance",20,0)))))</f>
        <v>N/A</v>
      </c>
      <c r="P294" s="283" t="str">
        <f aca="false">IF(OR($O294="N/A",$L294="N/A"),"N/A",$O294*$L294)</f>
        <v>N/A</v>
      </c>
      <c r="Q294" s="283" t="n">
        <f aca="false">IF(M294="TRUE",1,0)</f>
        <v>0</v>
      </c>
      <c r="R294" s="283" t="n">
        <f aca="false">R293+Q294</f>
        <v>0</v>
      </c>
      <c r="S294" s="283" t="n">
        <f aca="false">IF(Q294=0,0,R294)</f>
        <v>0</v>
      </c>
      <c r="T294" s="283" t="n">
        <f aca="false">IF(N294=1,1,0)</f>
        <v>0</v>
      </c>
      <c r="U294" s="283" t="n">
        <f aca="false">U293+T294</f>
        <v>70</v>
      </c>
      <c r="V294" s="283" t="n">
        <f aca="false">IF(T294=0,0,U294)</f>
        <v>0</v>
      </c>
    </row>
    <row r="295" customFormat="false" ht="26.85" hidden="false" customHeight="false" outlineLevel="0" collapsed="false">
      <c r="A295" s="311" t="str">
        <f aca="false">Questions!$A295</f>
        <v>DPAI-01</v>
      </c>
      <c r="B295" s="311" t="str">
        <f aca="false">LEFT(A295,4)</f>
        <v>DPAI</v>
      </c>
      <c r="C295" s="311" t="str">
        <f aca="false">VLOOKUP($A295,Questions!$A$3:$L$333,2,0)&amp;""</f>
        <v>Does your service use AI for the processing of institutional data?</v>
      </c>
      <c r="D295" s="311" t="str">
        <f aca="false">VLOOKUP($A295,Questions!$A$3:$L$333,11,0)&amp;""</f>
        <v>Neutral until evaluated</v>
      </c>
      <c r="E295" s="311" t="str">
        <f aca="false">VLOOKUP($A295,Questions!$A$3:$L$333,12,0)&amp;""</f>
        <v>Privacy</v>
      </c>
      <c r="F295" s="311" t="str">
        <f aca="false">VLOOKUP($A295,'Privacy Analyst Evaluation'!$A$46:$K$120,3,0)&amp;""</f>
        <v/>
      </c>
      <c r="G295" s="311" t="str">
        <f aca="false">VLOOKUP($A295,'Privacy Analyst Evaluation'!$A$46:$K$120,7,0)&amp;""</f>
        <v>No</v>
      </c>
      <c r="H295" s="311" t="str">
        <f aca="false">VLOOKUP($A295,'Privacy Analyst Evaluation'!$A$46:$K$120,8,0)&amp;""</f>
        <v/>
      </c>
      <c r="I295" s="311" t="str">
        <f aca="false">VLOOKUP($A295,'Privacy Analyst Evaluation'!$A$46:$K$120,9,0)&amp;""</f>
        <v>Standard Importance</v>
      </c>
      <c r="J295" s="311" t="str">
        <f aca="false">VLOOKUP($A295,'Privacy Analyst Evaluation'!$A$46:$K$120,10,0)&amp;""</f>
        <v/>
      </c>
      <c r="K295" s="311" t="n">
        <f aca="false">IF($I295="Critical Importance",20,IF($I295="Minor Importance",5,10))</f>
        <v>10</v>
      </c>
      <c r="L295" s="283" t="str">
        <f aca="false">IF($E295="Not Scored", "N/A",IF(AND($D295='Auto Responses'!$J$27,$H295=""),"N/A",IF(AND($D295='Auto Responses'!$J$27,$H295='Auto Responses'!$J$7),1,IF(AND($D295='Auto Responses'!$J$27,$H295='Auto Responses'!$J$8),0,IF(OR($F295=$G295,$H295='Auto Responses'!$J$7),1,0)))))</f>
        <v>N/A</v>
      </c>
      <c r="M295" s="311" t="str">
        <f aca="false">VLOOKUP($A295,'Privacy Analyst Evaluation'!$A$46:$K$120,10,0)&amp;""</f>
        <v/>
      </c>
      <c r="N295" s="311" t="n">
        <f aca="false">IF($J295="Critical Importance",1,IF(AND($J295="",$I295="Critical Importance"),1,0))</f>
        <v>0</v>
      </c>
      <c r="O295" s="283" t="str">
        <f aca="false">IF(OR($E295="Not Scored",$F$24="No"),"N/A",IF($J295="",$K295,IF($J295="Minor Importance",5,IF($J295="Standard Importance",10,IF($J295="Critical Importance",20,0)))))</f>
        <v>N/A</v>
      </c>
      <c r="P295" s="283" t="str">
        <f aca="false">IF(OR($O295="N/A",$L295="N/A"),"N/A",$O295*$L295)</f>
        <v>N/A</v>
      </c>
      <c r="Q295" s="283" t="n">
        <f aca="false">IF(M295="TRUE",1,0)</f>
        <v>0</v>
      </c>
      <c r="R295" s="283" t="n">
        <f aca="false">R294+Q295</f>
        <v>0</v>
      </c>
      <c r="S295" s="283" t="n">
        <f aca="false">IF(Q295=0,0,R295)</f>
        <v>0</v>
      </c>
      <c r="T295" s="283" t="n">
        <f aca="false">IF(N295=1,1,0)</f>
        <v>0</v>
      </c>
      <c r="U295" s="283" t="n">
        <f aca="false">U294+T295</f>
        <v>70</v>
      </c>
      <c r="V295" s="283" t="n">
        <f aca="false">IF(T295=0,0,U295)</f>
        <v>0</v>
      </c>
    </row>
    <row r="296" customFormat="false" ht="26.85" hidden="false" customHeight="false" outlineLevel="0" collapsed="false">
      <c r="A296" s="311" t="str">
        <f aca="false">Questions!$A296</f>
        <v>DPAI-02</v>
      </c>
      <c r="B296" s="311" t="str">
        <f aca="false">LEFT(A296,4)</f>
        <v>DPAI</v>
      </c>
      <c r="C296" s="311" t="str">
        <f aca="false">VLOOKUP($A296,Questions!$A$3:$L$333,2,0)&amp;""</f>
        <v>Is any institutional data retained in AI processing?*</v>
      </c>
      <c r="D296" s="311" t="str">
        <f aca="false">VLOOKUP($A296,Questions!$A$3:$L$333,11,0)&amp;""</f>
        <v/>
      </c>
      <c r="E296" s="311" t="str">
        <f aca="false">VLOOKUP($A296,Questions!$A$3:$L$333,12,0)&amp;""</f>
        <v>Privacy</v>
      </c>
      <c r="F296" s="311" t="str">
        <f aca="false">VLOOKUP($A296,'Privacy Analyst Evaluation'!$A$46:$K$120,3,0)&amp;""</f>
        <v/>
      </c>
      <c r="G296" s="311" t="str">
        <f aca="false">VLOOKUP($A296,'Privacy Analyst Evaluation'!$A$46:$K$120,7,0)&amp;""</f>
        <v>No</v>
      </c>
      <c r="H296" s="311" t="str">
        <f aca="false">VLOOKUP($A296,'Privacy Analyst Evaluation'!$A$46:$K$120,8,0)&amp;""</f>
        <v/>
      </c>
      <c r="I296" s="311" t="str">
        <f aca="false">VLOOKUP($A296,'Privacy Analyst Evaluation'!$A$46:$K$120,9,0)&amp;""</f>
        <v>Critical Importance</v>
      </c>
      <c r="J296" s="311" t="str">
        <f aca="false">VLOOKUP($A296,'Privacy Analyst Evaluation'!$A$46:$K$120,10,0)&amp;""</f>
        <v/>
      </c>
      <c r="K296" s="311" t="n">
        <f aca="false">IF($I296="Critical Importance",20,IF($I296="Minor Importance",5,10))</f>
        <v>20</v>
      </c>
      <c r="L296" s="283" t="n">
        <f aca="false">IF($E296="Not Scored", "N/A",IF(AND($D296='Auto Responses'!$J$27,$H296=""),"N/A",IF(AND($D296='Auto Responses'!$J$27,$H296='Auto Responses'!$J$7),1,IF(AND($D296='Auto Responses'!$J$27,$H296='Auto Responses'!$J$8),0,IF(OR($F296=$G296,$H296='Auto Responses'!$J$7),1,0)))))</f>
        <v>0</v>
      </c>
      <c r="M296" s="311" t="str">
        <f aca="false">VLOOKUP($A296,'Privacy Analyst Evaluation'!$A$46:$K$120,10,0)&amp;""</f>
        <v/>
      </c>
      <c r="N296" s="311" t="n">
        <f aca="false">IF($J296="Critical Importance",1,IF(AND($J296="",$I296="Critical Importance"),1,0))</f>
        <v>1</v>
      </c>
      <c r="O296" s="283" t="str">
        <f aca="false">IF(OR($E296="Not Scored",$F296="N/A",$F$24="No"),"N/A",IF($J296="",$K296,IF($J296="Minor Importance",5,IF($J296="Standard Importance",10,IF($J296="Critical Importance",20,0)))))</f>
        <v>N/A</v>
      </c>
      <c r="P296" s="283" t="str">
        <f aca="false">IF(OR($O296="N/A",$L296="N/A"),"N/A",$O296*$L296)</f>
        <v>N/A</v>
      </c>
      <c r="Q296" s="283" t="n">
        <f aca="false">IF(M296="TRUE",1,0)</f>
        <v>0</v>
      </c>
      <c r="R296" s="283" t="n">
        <f aca="false">R295+Q296</f>
        <v>0</v>
      </c>
      <c r="S296" s="283" t="n">
        <f aca="false">IF(Q296=0,0,R296)</f>
        <v>0</v>
      </c>
      <c r="T296" s="283" t="n">
        <f aca="false">IF(N296=1,1,0)</f>
        <v>1</v>
      </c>
      <c r="U296" s="283" t="n">
        <f aca="false">U295+T296</f>
        <v>71</v>
      </c>
      <c r="V296" s="283" t="n">
        <f aca="false">IF(T296=0,0,U296)</f>
        <v>71</v>
      </c>
    </row>
    <row r="297" customFormat="false" ht="39.55" hidden="false" customHeight="false" outlineLevel="0" collapsed="false">
      <c r="A297" s="311" t="str">
        <f aca="false">Questions!$A297</f>
        <v>DPAI-03</v>
      </c>
      <c r="B297" s="311" t="str">
        <f aca="false">LEFT(A297,4)</f>
        <v>DPAI</v>
      </c>
      <c r="C297" s="311" t="str">
        <f aca="false">VLOOKUP($A297,Questions!$A$3:$L$333,2,0)&amp;""</f>
        <v>Do you have agreements in place with third parties or subprocessors regarding the protection of customer data and use of AI?*</v>
      </c>
      <c r="D297" s="311" t="str">
        <f aca="false">VLOOKUP($A297,Questions!$A$3:$L$333,11,0)&amp;""</f>
        <v/>
      </c>
      <c r="E297" s="311" t="str">
        <f aca="false">VLOOKUP($A297,Questions!$A$3:$L$333,12,0)&amp;""</f>
        <v>Privacy</v>
      </c>
      <c r="F297" s="311" t="str">
        <f aca="false">VLOOKUP($A297,'Privacy Analyst Evaluation'!$A$46:$K$120,3,0)&amp;""</f>
        <v/>
      </c>
      <c r="G297" s="311" t="str">
        <f aca="false">VLOOKUP($A297,'Privacy Analyst Evaluation'!$A$46:$K$120,7,0)&amp;""</f>
        <v>Yes</v>
      </c>
      <c r="H297" s="311" t="str">
        <f aca="false">VLOOKUP($A297,'Privacy Analyst Evaluation'!$A$46:$K$120,8,0)&amp;""</f>
        <v/>
      </c>
      <c r="I297" s="311" t="str">
        <f aca="false">VLOOKUP($A297,'Privacy Analyst Evaluation'!$A$46:$K$120,9,0)&amp;""</f>
        <v>Critical Importance</v>
      </c>
      <c r="J297" s="311" t="str">
        <f aca="false">VLOOKUP($A297,'Privacy Analyst Evaluation'!$A$46:$K$120,10,0)&amp;""</f>
        <v/>
      </c>
      <c r="K297" s="311" t="n">
        <f aca="false">IF($I297="Critical Importance",20,IF($I297="Minor Importance",5,10))</f>
        <v>20</v>
      </c>
      <c r="L297" s="283" t="n">
        <f aca="false">IF($E297="Not Scored", "N/A",IF(AND($D297='Auto Responses'!$J$27,$H297=""),"N/A",IF(AND($D297='Auto Responses'!$J$27,$H297='Auto Responses'!$J$7),1,IF(AND($D297='Auto Responses'!$J$27,$H297='Auto Responses'!$J$8),0,IF(OR($F297=$G297,$H297='Auto Responses'!$J$7),1,0)))))</f>
        <v>0</v>
      </c>
      <c r="M297" s="311" t="str">
        <f aca="false">VLOOKUP($A297,'Privacy Analyst Evaluation'!$A$46:$K$120,10,0)&amp;""</f>
        <v/>
      </c>
      <c r="N297" s="311" t="n">
        <f aca="false">IF($J297="Critical Importance",1,IF(AND($J297="",$I297="Critical Importance"),1,0))</f>
        <v>1</v>
      </c>
      <c r="O297" s="283" t="str">
        <f aca="false">IF(OR($E297="Not Scored",$F297="N/A",$F$24="No"),"N/A",IF($J297="",$K297,IF($J297="Minor Importance",5,IF($J297="Standard Importance",10,IF($J297="Critical Importance",20,0)))))</f>
        <v>N/A</v>
      </c>
      <c r="P297" s="283" t="str">
        <f aca="false">IF(OR($O297="N/A",$L297="N/A"),"N/A",$O297*$L297)</f>
        <v>N/A</v>
      </c>
      <c r="Q297" s="283" t="n">
        <f aca="false">IF(M297="TRUE",1,0)</f>
        <v>0</v>
      </c>
      <c r="R297" s="283" t="n">
        <f aca="false">R296+Q297</f>
        <v>0</v>
      </c>
      <c r="S297" s="283" t="n">
        <f aca="false">IF(Q297=0,0,R297)</f>
        <v>0</v>
      </c>
      <c r="T297" s="283" t="n">
        <f aca="false">IF(N297=1,1,0)</f>
        <v>1</v>
      </c>
      <c r="U297" s="283" t="n">
        <f aca="false">U296+T297</f>
        <v>72</v>
      </c>
      <c r="V297" s="283" t="n">
        <f aca="false">IF(T297=0,0,U297)</f>
        <v>72</v>
      </c>
    </row>
    <row r="298" customFormat="false" ht="26.85" hidden="false" customHeight="false" outlineLevel="0" collapsed="false">
      <c r="A298" s="311" t="str">
        <f aca="false">Questions!$A298</f>
        <v>DPAI-04</v>
      </c>
      <c r="B298" s="311" t="str">
        <f aca="false">LEFT(A298,4)</f>
        <v>DPAI</v>
      </c>
      <c r="C298" s="311" t="str">
        <f aca="false">VLOOKUP($A298,Questions!$A$3:$L$333,2,0)&amp;""</f>
        <v>Will institutional data be processed through a third party or subprocessor that also uses AI?</v>
      </c>
      <c r="D298" s="311" t="str">
        <f aca="false">VLOOKUP($A298,Questions!$A$3:$L$333,11,0)&amp;""</f>
        <v>Neutral until evaluated</v>
      </c>
      <c r="E298" s="311" t="str">
        <f aca="false">VLOOKUP($A298,Questions!$A$3:$L$333,12,0)&amp;""</f>
        <v>Privacy</v>
      </c>
      <c r="F298" s="311" t="str">
        <f aca="false">VLOOKUP($A298,'Privacy Analyst Evaluation'!$A$46:$K$120,3,0)&amp;""</f>
        <v/>
      </c>
      <c r="G298" s="311" t="str">
        <f aca="false">VLOOKUP($A298,'Privacy Analyst Evaluation'!$A$46:$K$120,7,0)&amp;""</f>
        <v>No</v>
      </c>
      <c r="H298" s="311" t="str">
        <f aca="false">VLOOKUP($A298,'Privacy Analyst Evaluation'!$A$46:$K$120,8,0)&amp;""</f>
        <v/>
      </c>
      <c r="I298" s="311" t="str">
        <f aca="false">VLOOKUP($A298,'Privacy Analyst Evaluation'!$A$46:$K$120,9,0)&amp;""</f>
        <v>Standard Importance</v>
      </c>
      <c r="J298" s="311" t="str">
        <f aca="false">VLOOKUP($A298,'Privacy Analyst Evaluation'!$A$46:$K$120,10,0)&amp;""</f>
        <v/>
      </c>
      <c r="K298" s="311" t="n">
        <f aca="false">IF($I298="Critical Importance",20,IF($I298="Minor Importance",5,10))</f>
        <v>10</v>
      </c>
      <c r="L298" s="283" t="str">
        <f aca="false">IF($E298="Not Scored", "N/A",IF(AND($D298='Auto Responses'!$J$27,$H298=""),"N/A",IF(AND($D298='Auto Responses'!$J$27,$H298='Auto Responses'!$J$7),1,IF(AND($D298='Auto Responses'!$J$27,$H298='Auto Responses'!$J$8),0,IF(OR($F298=$G298,$H298='Auto Responses'!$J$7),1,0)))))</f>
        <v>N/A</v>
      </c>
      <c r="M298" s="311" t="str">
        <f aca="false">VLOOKUP($A298,'Privacy Analyst Evaluation'!$A$46:$K$120,10,0)&amp;""</f>
        <v/>
      </c>
      <c r="N298" s="311" t="n">
        <f aca="false">IF($J298="Critical Importance",1,IF(AND($J298="",$I298="Critical Importance"),1,0))</f>
        <v>0</v>
      </c>
      <c r="O298" s="283" t="str">
        <f aca="false">IF(OR($E298="Not Scored",$F$24="No"),"N/A",IF($J298="",$K298,IF($J298="Minor Importance",5,IF($J298="Standard Importance",10,IF($J298="Critical Importance",20,0)))))</f>
        <v>N/A</v>
      </c>
      <c r="P298" s="283" t="str">
        <f aca="false">IF(OR($O298="N/A",$L298="N/A"),"N/A",$O298*$L298)</f>
        <v>N/A</v>
      </c>
      <c r="Q298" s="283" t="n">
        <f aca="false">IF(M298="TRUE",1,0)</f>
        <v>0</v>
      </c>
      <c r="R298" s="283" t="n">
        <f aca="false">R297+Q298</f>
        <v>0</v>
      </c>
      <c r="S298" s="283" t="n">
        <f aca="false">IF(Q298=0,0,R298)</f>
        <v>0</v>
      </c>
      <c r="T298" s="283" t="n">
        <f aca="false">IF(N298=1,1,0)</f>
        <v>0</v>
      </c>
      <c r="U298" s="283" t="n">
        <f aca="false">U297+T298</f>
        <v>72</v>
      </c>
      <c r="V298" s="283" t="n">
        <f aca="false">IF(T298=0,0,U298)</f>
        <v>0</v>
      </c>
    </row>
    <row r="299" customFormat="false" ht="26.85" hidden="false" customHeight="false" outlineLevel="0" collapsed="false">
      <c r="A299" s="311" t="str">
        <f aca="false">Questions!$A299</f>
        <v>DPAI-05</v>
      </c>
      <c r="B299" s="311" t="str">
        <f aca="false">LEFT(A299,4)</f>
        <v>DPAI</v>
      </c>
      <c r="C299" s="311" t="str">
        <f aca="false">VLOOKUP($A299,Questions!$A$3:$L$333,2,0)&amp;""</f>
        <v>Is AI processing limited to fully licensed commercial enterprise AI services?</v>
      </c>
      <c r="D299" s="311" t="str">
        <f aca="false">VLOOKUP($A299,Questions!$A$3:$L$333,11,0)&amp;""</f>
        <v>Neutral until evaluated</v>
      </c>
      <c r="E299" s="311" t="str">
        <f aca="false">VLOOKUP($A299,Questions!$A$3:$L$333,12,0)&amp;""</f>
        <v>Privacy</v>
      </c>
      <c r="F299" s="311" t="str">
        <f aca="false">VLOOKUP($A299,'Privacy Analyst Evaluation'!$A$46:$K$120,3,0)&amp;""</f>
        <v/>
      </c>
      <c r="G299" s="311" t="str">
        <f aca="false">VLOOKUP($A299,'Privacy Analyst Evaluation'!$A$46:$K$120,7,0)&amp;""</f>
        <v>Yes</v>
      </c>
      <c r="H299" s="311" t="str">
        <f aca="false">VLOOKUP($A299,'Privacy Analyst Evaluation'!$A$46:$K$120,8,0)&amp;""</f>
        <v/>
      </c>
      <c r="I299" s="311" t="str">
        <f aca="false">VLOOKUP($A299,'Privacy Analyst Evaluation'!$A$46:$K$120,9,0)&amp;""</f>
        <v>Minor Importance</v>
      </c>
      <c r="J299" s="311" t="str">
        <f aca="false">VLOOKUP($A299,'Privacy Analyst Evaluation'!$A$46:$K$120,10,0)&amp;""</f>
        <v/>
      </c>
      <c r="K299" s="311" t="n">
        <f aca="false">IF($I299="Critical Importance",20,IF($I299="Minor Importance",5,10))</f>
        <v>5</v>
      </c>
      <c r="L299" s="283" t="str">
        <f aca="false">IF($E299="Not Scored", "N/A",IF(AND($D299='Auto Responses'!$J$27,$H299=""),"N/A",IF(AND($D299='Auto Responses'!$J$27,$H299='Auto Responses'!$J$7),1,IF(AND($D299='Auto Responses'!$J$27,$H299='Auto Responses'!$J$8),0,IF(OR($F299=$G299,$H299='Auto Responses'!$J$7),1,0)))))</f>
        <v>N/A</v>
      </c>
      <c r="M299" s="311" t="str">
        <f aca="false">VLOOKUP($A299,'Privacy Analyst Evaluation'!$A$46:$K$120,10,0)&amp;""</f>
        <v/>
      </c>
      <c r="N299" s="311" t="n">
        <f aca="false">IF($J299="Critical Importance",1,IF(AND($J299="",$I299="Critical Importance"),1,0))</f>
        <v>0</v>
      </c>
      <c r="O299" s="283" t="str">
        <f aca="false">IF(OR($E299="Not Scored",$F299="N/A",$F$24="No"),"N/A",IF($J299="",$K299,IF($J299="Minor Importance",5,IF($J299="Standard Importance",10,IF($J299="Critical Importance",20,0)))))</f>
        <v>N/A</v>
      </c>
      <c r="P299" s="283" t="str">
        <f aca="false">IF(OR($O299="N/A",$L299="N/A"),"N/A",$O299*$L299)</f>
        <v>N/A</v>
      </c>
      <c r="Q299" s="283" t="n">
        <f aca="false">IF(M299="TRUE",1,0)</f>
        <v>0</v>
      </c>
      <c r="R299" s="283" t="n">
        <f aca="false">R298+Q299</f>
        <v>0</v>
      </c>
      <c r="S299" s="283" t="n">
        <f aca="false">IF(Q299=0,0,R299)</f>
        <v>0</v>
      </c>
      <c r="T299" s="283" t="n">
        <f aca="false">IF(N299=1,1,0)</f>
        <v>0</v>
      </c>
      <c r="U299" s="283" t="n">
        <f aca="false">U298+T299</f>
        <v>72</v>
      </c>
      <c r="V299" s="283" t="n">
        <f aca="false">IF(T299=0,0,U299)</f>
        <v>0</v>
      </c>
    </row>
    <row r="300" customFormat="false" ht="26.85" hidden="false" customHeight="false" outlineLevel="0" collapsed="false">
      <c r="A300" s="311" t="str">
        <f aca="false">Questions!$A300</f>
        <v>DPAI-06</v>
      </c>
      <c r="B300" s="311" t="str">
        <f aca="false">LEFT(A300,4)</f>
        <v>DPAI</v>
      </c>
      <c r="C300" s="311" t="str">
        <f aca="false">VLOOKUP($A300,Questions!$A$3:$L$333,2,0)&amp;""</f>
        <v>Will institutional data be used or processed by any shared AI services?</v>
      </c>
      <c r="D300" s="311" t="str">
        <f aca="false">VLOOKUP($A300,Questions!$A$3:$L$333,11,0)&amp;""</f>
        <v>Neutral until evaluated</v>
      </c>
      <c r="E300" s="311" t="str">
        <f aca="false">VLOOKUP($A300,Questions!$A$3:$L$333,12,0)&amp;""</f>
        <v>Privacy</v>
      </c>
      <c r="F300" s="311" t="str">
        <f aca="false">VLOOKUP($A300,'Privacy Analyst Evaluation'!$A$46:$K$120,3,0)&amp;""</f>
        <v/>
      </c>
      <c r="G300" s="311" t="str">
        <f aca="false">VLOOKUP($A300,'Privacy Analyst Evaluation'!$A$46:$K$120,7,0)&amp;""</f>
        <v>No</v>
      </c>
      <c r="H300" s="311" t="str">
        <f aca="false">VLOOKUP($A300,'Privacy Analyst Evaluation'!$A$46:$K$120,8,0)&amp;""</f>
        <v/>
      </c>
      <c r="I300" s="311" t="str">
        <f aca="false">VLOOKUP($A300,'Privacy Analyst Evaluation'!$A$46:$K$120,9,0)&amp;""</f>
        <v>Minor Importance</v>
      </c>
      <c r="J300" s="311" t="str">
        <f aca="false">VLOOKUP($A300,'Privacy Analyst Evaluation'!$A$46:$K$120,10,0)&amp;""</f>
        <v/>
      </c>
      <c r="K300" s="311" t="n">
        <f aca="false">IF($I300="Critical Importance",20,IF($I300="Minor Importance",5,10))</f>
        <v>5</v>
      </c>
      <c r="L300" s="283" t="str">
        <f aca="false">IF($E300="Not Scored", "N/A",IF(AND($D300='Auto Responses'!$J$27,$H300=""),"N/A",IF(AND($D300='Auto Responses'!$J$27,$H300='Auto Responses'!$J$7),1,IF(AND($D300='Auto Responses'!$J$27,$H300='Auto Responses'!$J$8),0,IF(OR($F300=$G300,$H300='Auto Responses'!$J$7),1,0)))))</f>
        <v>N/A</v>
      </c>
      <c r="M300" s="311" t="str">
        <f aca="false">VLOOKUP($A300,'Privacy Analyst Evaluation'!$A$46:$K$120,10,0)&amp;""</f>
        <v/>
      </c>
      <c r="N300" s="311" t="n">
        <f aca="false">IF($J300="Critical Importance",1,IF(AND($J300="",$I300="Critical Importance"),1,0))</f>
        <v>0</v>
      </c>
      <c r="O300" s="283" t="str">
        <f aca="false">IF(OR($E300="Not Scored",$F$24="No"),"N/A",IF($J300="",$K300,IF($J300="Minor Importance",5,IF($J300="Standard Importance",10,IF($J300="Critical Importance",20,0)))))</f>
        <v>N/A</v>
      </c>
      <c r="P300" s="283" t="str">
        <f aca="false">IF(OR($O300="N/A",$L300="N/A"),"N/A",$O300*$L300)</f>
        <v>N/A</v>
      </c>
      <c r="Q300" s="283" t="n">
        <f aca="false">IF(M300="TRUE",1,0)</f>
        <v>0</v>
      </c>
      <c r="R300" s="283" t="n">
        <f aca="false">R299+Q300</f>
        <v>0</v>
      </c>
      <c r="S300" s="283" t="n">
        <f aca="false">IF(Q300=0,0,R300)</f>
        <v>0</v>
      </c>
      <c r="T300" s="283" t="n">
        <f aca="false">IF(N300=1,1,0)</f>
        <v>0</v>
      </c>
      <c r="U300" s="283" t="n">
        <f aca="false">U299+T300</f>
        <v>72</v>
      </c>
      <c r="V300" s="283" t="n">
        <f aca="false">IF(T300=0,0,U300)</f>
        <v>0</v>
      </c>
    </row>
    <row r="301" customFormat="false" ht="39.55" hidden="false" customHeight="false" outlineLevel="0" collapsed="false">
      <c r="A301" s="311" t="str">
        <f aca="false">Questions!$A301</f>
        <v>DPAI-07</v>
      </c>
      <c r="B301" s="311" t="str">
        <f aca="false">LEFT(A301,4)</f>
        <v>DPAI</v>
      </c>
      <c r="C301" s="311" t="str">
        <f aca="false">VLOOKUP($A301,Questions!$A$3:$L$333,2,0)&amp;""</f>
        <v>Do you have safeguards in place to protect institutional data and data privacy from unintended AI queries or processing?</v>
      </c>
      <c r="D301" s="311" t="str">
        <f aca="false">VLOOKUP($A301,Questions!$A$3:$L$333,11,0)&amp;""</f>
        <v>Neutral until evaluated</v>
      </c>
      <c r="E301" s="311" t="str">
        <f aca="false">VLOOKUP($A301,Questions!$A$3:$L$333,12,0)&amp;""</f>
        <v>Privacy</v>
      </c>
      <c r="F301" s="311" t="str">
        <f aca="false">VLOOKUP($A301,'Privacy Analyst Evaluation'!$A$46:$K$120,3,0)&amp;""</f>
        <v/>
      </c>
      <c r="G301" s="311" t="str">
        <f aca="false">VLOOKUP($A301,'Privacy Analyst Evaluation'!$A$46:$K$120,7,0)&amp;""</f>
        <v>Yes</v>
      </c>
      <c r="H301" s="311" t="str">
        <f aca="false">VLOOKUP($A301,'Privacy Analyst Evaluation'!$A$46:$K$120,8,0)&amp;""</f>
        <v/>
      </c>
      <c r="I301" s="311" t="str">
        <f aca="false">VLOOKUP($A301,'Privacy Analyst Evaluation'!$A$46:$K$120,9,0)&amp;""</f>
        <v>Minor Importance</v>
      </c>
      <c r="J301" s="311" t="str">
        <f aca="false">VLOOKUP($A301,'Privacy Analyst Evaluation'!$A$46:$K$120,10,0)&amp;""</f>
        <v/>
      </c>
      <c r="K301" s="311" t="n">
        <f aca="false">IF($I301="Critical Importance",20,IF($I301="Minor Importance",5,10))</f>
        <v>5</v>
      </c>
      <c r="L301" s="283" t="str">
        <f aca="false">IF($E301="Not Scored", "N/A",IF(AND($D301='Auto Responses'!$J$27,$H301=""),"N/A",IF(AND($D301='Auto Responses'!$J$27,$H301='Auto Responses'!$J$7),1,IF(AND($D301='Auto Responses'!$J$27,$H301='Auto Responses'!$J$8),0,IF(OR($F301=$G301,$H301='Auto Responses'!$J$7),1,0)))))</f>
        <v>N/A</v>
      </c>
      <c r="M301" s="311" t="str">
        <f aca="false">VLOOKUP($A301,'Privacy Analyst Evaluation'!$A$46:$K$120,10,0)&amp;""</f>
        <v/>
      </c>
      <c r="N301" s="311" t="n">
        <f aca="false">IF($J301="Critical Importance",1,IF(AND($J301="",$I301="Critical Importance"),1,0))</f>
        <v>0</v>
      </c>
      <c r="O301" s="283" t="str">
        <f aca="false">IF(OR($E301="Not Scored",$F$24="No"),"N/A",IF($J301="",$K301,IF($J301="Minor Importance",5,IF($J301="Standard Importance",10,IF($J301="Critical Importance",20,0)))))</f>
        <v>N/A</v>
      </c>
      <c r="P301" s="283" t="str">
        <f aca="false">IF(OR($O301="N/A",$L301="N/A"),"N/A",$O301*$L301)</f>
        <v>N/A</v>
      </c>
      <c r="Q301" s="283" t="n">
        <f aca="false">IF(M301="TRUE",1,0)</f>
        <v>0</v>
      </c>
      <c r="R301" s="283" t="n">
        <f aca="false">R300+Q301</f>
        <v>0</v>
      </c>
      <c r="S301" s="283" t="n">
        <f aca="false">IF(Q301=0,0,R301)</f>
        <v>0</v>
      </c>
      <c r="T301" s="283" t="n">
        <f aca="false">IF(N301=1,1,0)</f>
        <v>0</v>
      </c>
      <c r="U301" s="283" t="n">
        <f aca="false">U300+T301</f>
        <v>72</v>
      </c>
      <c r="V301" s="283" t="n">
        <f aca="false">IF(T301=0,0,U301)</f>
        <v>0</v>
      </c>
    </row>
    <row r="302" customFormat="false" ht="26.85" hidden="false" customHeight="false" outlineLevel="0" collapsed="false">
      <c r="A302" s="311" t="str">
        <f aca="false">Questions!$A302</f>
        <v>DPAI-08</v>
      </c>
      <c r="B302" s="311" t="str">
        <f aca="false">LEFT(A302,4)</f>
        <v>DPAI</v>
      </c>
      <c r="C302" s="311" t="str">
        <f aca="false">VLOOKUP($A302,Questions!$A$3:$L$333,2,0)&amp;""</f>
        <v>Do you provide choice to the user to opt out of AI use?</v>
      </c>
      <c r="D302" s="311" t="str">
        <f aca="false">VLOOKUP($A302,Questions!$A$3:$L$333,11,0)&amp;""</f>
        <v>Neutral until evaluated</v>
      </c>
      <c r="E302" s="311" t="str">
        <f aca="false">VLOOKUP($A302,Questions!$A$3:$L$333,12,0)&amp;""</f>
        <v>Privacy</v>
      </c>
      <c r="F302" s="311" t="str">
        <f aca="false">VLOOKUP($A302,'Privacy Analyst Evaluation'!$A$46:$K$120,3,0)&amp;""</f>
        <v/>
      </c>
      <c r="G302" s="311" t="str">
        <f aca="false">VLOOKUP($A302,'Privacy Analyst Evaluation'!$A$46:$K$120,7,0)&amp;""</f>
        <v>Yes</v>
      </c>
      <c r="H302" s="311" t="str">
        <f aca="false">VLOOKUP($A302,'Privacy Analyst Evaluation'!$A$46:$K$120,8,0)&amp;""</f>
        <v/>
      </c>
      <c r="I302" s="311" t="str">
        <f aca="false">VLOOKUP($A302,'Privacy Analyst Evaluation'!$A$46:$K$120,9,0)&amp;""</f>
        <v>Minor Importance</v>
      </c>
      <c r="J302" s="311" t="str">
        <f aca="false">VLOOKUP($A302,'Privacy Analyst Evaluation'!$A$46:$K$120,10,0)&amp;""</f>
        <v/>
      </c>
      <c r="K302" s="311" t="n">
        <f aca="false">IF($I302="Critical Importance",20,IF($I302="Minor Importance",5,10))</f>
        <v>5</v>
      </c>
      <c r="L302" s="283" t="str">
        <f aca="false">IF($E302="Not Scored", "N/A",IF(AND($D302='Auto Responses'!$J$27,$H302=""),"N/A",IF(AND($D302='Auto Responses'!$J$27,$H302='Auto Responses'!$J$7),1,IF(AND($D302='Auto Responses'!$J$27,$H302='Auto Responses'!$J$8),0,IF(OR($F302=$G302,$H302='Auto Responses'!$J$7),1,0)))))</f>
        <v>N/A</v>
      </c>
      <c r="M302" s="311" t="str">
        <f aca="false">VLOOKUP($A302,'Privacy Analyst Evaluation'!$A$46:$K$120,10,0)&amp;""</f>
        <v/>
      </c>
      <c r="N302" s="311" t="n">
        <f aca="false">IF($J302="Critical Importance",1,IF(AND($J302="",$I302="Critical Importance"),1,0))</f>
        <v>0</v>
      </c>
      <c r="O302" s="283" t="str">
        <f aca="false">IF(OR($E302="Not Scored",$F302="N/A",$F$24="No"),"N/A",IF($J302="",$K302,IF($J302="Minor Importance",5,IF($J302="Standard Importance",10,IF($J302="Critical Importance",20,0)))))</f>
        <v>N/A</v>
      </c>
      <c r="P302" s="283" t="str">
        <f aca="false">IF(OR($O302="N/A",$L302="N/A"),"N/A",$O302*$L302)</f>
        <v>N/A</v>
      </c>
      <c r="Q302" s="283" t="n">
        <f aca="false">IF(M302="TRUE",1,0)</f>
        <v>0</v>
      </c>
      <c r="R302" s="283" t="n">
        <f aca="false">R301+Q302</f>
        <v>0</v>
      </c>
      <c r="S302" s="283" t="n">
        <f aca="false">IF(Q302=0,0,R302)</f>
        <v>0</v>
      </c>
      <c r="T302" s="283" t="n">
        <f aca="false">IF(N302=1,1,0)</f>
        <v>0</v>
      </c>
      <c r="U302" s="283" t="n">
        <f aca="false">U301+T302</f>
        <v>72</v>
      </c>
      <c r="V302" s="283" t="n">
        <f aca="false">IF(T302=0,0,U302)</f>
        <v>0</v>
      </c>
    </row>
    <row r="303" customFormat="false" ht="39.55" hidden="false" customHeight="false" outlineLevel="0" collapsed="false">
      <c r="A303" s="311" t="str">
        <f aca="false">Questions!$A303</f>
        <v>AIQU-01</v>
      </c>
      <c r="B303" s="311" t="str">
        <f aca="false">LEFT(A303,4)</f>
        <v>AIQU</v>
      </c>
      <c r="C303" s="311" t="str">
        <f aca="false">VLOOKUP($A303,Questions!$A$3:$L$333,2,0)&amp;""</f>
        <v>Does your solution leverage machine learning (ML) or do you plan to do so in the next 12 months?</v>
      </c>
      <c r="D303" s="311" t="str">
        <f aca="false">VLOOKUP($A303,Questions!$A$3:$L$333,11,0)&amp;""</f>
        <v>NA</v>
      </c>
      <c r="E303" s="311" t="str">
        <f aca="false">VLOOKUP($A303,Questions!$A$3:$L$333,12,0)&amp;""</f>
        <v>Not scored</v>
      </c>
      <c r="F303" s="311" t="str">
        <f aca="false">VLOOKUP($A303,'Institution Evaluation'!$A$56:$K$346,3,0)&amp;""</f>
        <v/>
      </c>
      <c r="G303" s="311" t="str">
        <f aca="false">VLOOKUP($A303,'Institution Evaluation'!$A$56:$K$346,7,0)&amp;""</f>
        <v>Not scored</v>
      </c>
      <c r="H303" s="311" t="str">
        <f aca="false">VLOOKUP($A303,'Institution Evaluation'!$A$56:$K$346,8,0)&amp;""</f>
        <v/>
      </c>
      <c r="I303" s="311" t="str">
        <f aca="false">VLOOKUP($A303,'Institution Evaluation'!$A$56:$K$346,9,0)&amp;""</f>
        <v/>
      </c>
      <c r="J303" s="311" t="str">
        <f aca="false">VLOOKUP($A303,'Institution Evaluation'!$A$56:$K$346,10,0)&amp;""</f>
        <v/>
      </c>
      <c r="K303" s="311" t="n">
        <f aca="false">IF($I303="Critical Importance",20,IF($I303="Minor Importance",5,10))</f>
        <v>10</v>
      </c>
      <c r="L303" s="283" t="str">
        <f aca="false">IF($E303="Not Scored", "N/A",IF(AND($D303='Auto Responses'!$J$27,$H303=""),"N/A",IF(AND($D303='Auto Responses'!$J$27,$H303='Auto Responses'!$J$7),1,IF(AND($D303='Auto Responses'!$J$27,$H303='Auto Responses'!$J$8),0,IF(OR($F303=$G303,$H303='Auto Responses'!$J$7),1,0)))))</f>
        <v>N/A</v>
      </c>
      <c r="M303" s="311" t="str">
        <f aca="false">VLOOKUP($A303,'Institution Evaluation'!$A$56:$K$346,10,0)&amp;""</f>
        <v/>
      </c>
      <c r="N303" s="311" t="n">
        <f aca="false">IF($J303="Critical Importance",1,IF(AND($J303="",$I303="Critical Importance"),1,0))</f>
        <v>0</v>
      </c>
      <c r="O303" s="283" t="str">
        <f aca="false">IF(OR($F$20="No",$E303="Not Scored"),"N/A",IF($J303="",$K303,IF($J303="Minor Importance",5,IF($J303="Standard Importance",10,IF($J303="Critical Importance",20,0)))))</f>
        <v>N/A</v>
      </c>
      <c r="P303" s="283" t="str">
        <f aca="false">IF(OR($O303="N/A",$L303="N/A"),"N/A",$O303*$L303)</f>
        <v>N/A</v>
      </c>
      <c r="Q303" s="283" t="n">
        <f aca="false">IF(M303="TRUE",1,0)</f>
        <v>0</v>
      </c>
      <c r="R303" s="283" t="n">
        <f aca="false">R302+Q303</f>
        <v>0</v>
      </c>
      <c r="S303" s="283" t="n">
        <f aca="false">IF(Q303=0,0,R303)</f>
        <v>0</v>
      </c>
      <c r="T303" s="283" t="n">
        <f aca="false">IF(N303=1,1,0)</f>
        <v>0</v>
      </c>
      <c r="U303" s="283" t="n">
        <f aca="false">U302+T303</f>
        <v>72</v>
      </c>
      <c r="V303" s="283" t="n">
        <f aca="false">IF(T303=0,0,U303)</f>
        <v>0</v>
      </c>
    </row>
    <row r="304" customFormat="false" ht="39.55" hidden="false" customHeight="false" outlineLevel="0" collapsed="false">
      <c r="A304" s="311" t="str">
        <f aca="false">Questions!$A304</f>
        <v>AIQU-02</v>
      </c>
      <c r="B304" s="311" t="str">
        <f aca="false">LEFT(A304,4)</f>
        <v>AIQU</v>
      </c>
      <c r="C304" s="311" t="str">
        <f aca="false">VLOOKUP($A304,Questions!$A$3:$L$333,2,0)&amp;""</f>
        <v>Does your solution leverage a large language model (LLM) or do you plan to do so in the next 12 months?</v>
      </c>
      <c r="D304" s="311" t="str">
        <f aca="false">VLOOKUP($A304,Questions!$A$3:$L$333,11,0)&amp;""</f>
        <v>NA</v>
      </c>
      <c r="E304" s="311" t="str">
        <f aca="false">VLOOKUP($A304,Questions!$A$3:$L$333,12,0)&amp;""</f>
        <v>Not scored</v>
      </c>
      <c r="F304" s="311" t="str">
        <f aca="false">VLOOKUP($A304,'Institution Evaluation'!$A$56:$K$346,3,0)&amp;""</f>
        <v/>
      </c>
      <c r="G304" s="311" t="str">
        <f aca="false">VLOOKUP($A304,'Institution Evaluation'!$A$56:$K$346,7,0)&amp;""</f>
        <v>Not scored</v>
      </c>
      <c r="H304" s="311" t="str">
        <f aca="false">VLOOKUP($A304,'Institution Evaluation'!$A$56:$K$346,8,0)&amp;""</f>
        <v/>
      </c>
      <c r="I304" s="311" t="str">
        <f aca="false">VLOOKUP($A304,'Institution Evaluation'!$A$56:$K$346,9,0)&amp;""</f>
        <v/>
      </c>
      <c r="J304" s="311" t="str">
        <f aca="false">VLOOKUP($A304,'Institution Evaluation'!$A$56:$K$346,10,0)&amp;""</f>
        <v/>
      </c>
      <c r="K304" s="311" t="n">
        <f aca="false">IF($I304="Critical Importance",20,IF($I304="Minor Importance",5,10))</f>
        <v>10</v>
      </c>
      <c r="L304" s="283" t="str">
        <f aca="false">IF($E304="Not Scored", "N/A",IF(AND($D304='Auto Responses'!$J$27,$H304=""),"N/A",IF(AND($D304='Auto Responses'!$J$27,$H304='Auto Responses'!$J$7),1,IF(AND($D304='Auto Responses'!$J$27,$H304='Auto Responses'!$J$8),0,IF(OR($F304=$G304,$H304='Auto Responses'!$J$7),1,0)))))</f>
        <v>N/A</v>
      </c>
      <c r="M304" s="311" t="str">
        <f aca="false">VLOOKUP($A304,'Institution Evaluation'!$A$56:$K$346,10,0)&amp;""</f>
        <v/>
      </c>
      <c r="N304" s="311" t="n">
        <f aca="false">IF($J304="Critical Importance",1,IF(AND($J304="",$I304="Critical Importance"),1,0))</f>
        <v>0</v>
      </c>
      <c r="O304" s="283" t="str">
        <f aca="false">IF(OR($F$20="No",$E304="Not Scored"),"N/A",IF($J304="",$K304,IF($J304="Minor Importance",5,IF($J304="Standard Importance",10,IF($J304="Critical Importance",20,0)))))</f>
        <v>N/A</v>
      </c>
      <c r="P304" s="283" t="str">
        <f aca="false">IF(OR($O304="N/A",$L304="N/A"),"N/A",$O304*$L304)</f>
        <v>N/A</v>
      </c>
      <c r="Q304" s="283" t="n">
        <f aca="false">IF(M304="TRUE",1,0)</f>
        <v>0</v>
      </c>
      <c r="R304" s="283" t="n">
        <f aca="false">R303+Q304</f>
        <v>0</v>
      </c>
      <c r="S304" s="283" t="n">
        <f aca="false">IF(Q304=0,0,R304)</f>
        <v>0</v>
      </c>
      <c r="T304" s="283" t="n">
        <f aca="false">IF(N304=1,1,0)</f>
        <v>0</v>
      </c>
      <c r="U304" s="283" t="n">
        <f aca="false">U303+T304</f>
        <v>72</v>
      </c>
      <c r="V304" s="283" t="n">
        <f aca="false">IF(T304=0,0,U304)</f>
        <v>0</v>
      </c>
    </row>
    <row r="305" customFormat="false" ht="39.55" hidden="false" customHeight="false" outlineLevel="0" collapsed="false">
      <c r="A305" s="311" t="str">
        <f aca="false">Questions!$A305</f>
        <v>AIGN-01</v>
      </c>
      <c r="B305" s="311" t="str">
        <f aca="false">LEFT(A305,4)</f>
        <v>AIGN</v>
      </c>
      <c r="C305" s="311" t="str">
        <f aca="false">VLOOKUP($A305,Questions!$A$3:$L$333,2,0)&amp;""</f>
        <v>Does your solution have an AI risk model when developing or implementing your solution's AI model?*</v>
      </c>
      <c r="D305" s="311" t="str">
        <f aca="false">VLOOKUP($A305,Questions!$A$3:$L$333,11,0)&amp;""</f>
        <v/>
      </c>
      <c r="E305" s="311" t="str">
        <f aca="false">VLOOKUP($A305,Questions!$A$3:$L$333,12,0)&amp;""</f>
        <v>AI</v>
      </c>
      <c r="F305" s="311" t="str">
        <f aca="false">VLOOKUP($A305,'Institution Evaluation'!$A$56:$K$346,3,0)&amp;""</f>
        <v/>
      </c>
      <c r="G305" s="311" t="str">
        <f aca="false">VLOOKUP($A305,'Institution Evaluation'!$A$56:$K$346,7,0)&amp;""</f>
        <v>Yes</v>
      </c>
      <c r="H305" s="311" t="str">
        <f aca="false">VLOOKUP($A305,'Institution Evaluation'!$A$56:$K$346,8,0)&amp;""</f>
        <v/>
      </c>
      <c r="I305" s="311" t="str">
        <f aca="false">VLOOKUP($A305,'Institution Evaluation'!$A$56:$K$346,9,0)&amp;""</f>
        <v>Critical Importance</v>
      </c>
      <c r="J305" s="311" t="str">
        <f aca="false">VLOOKUP($A305,'Institution Evaluation'!$A$56:$K$346,10,0)&amp;""</f>
        <v/>
      </c>
      <c r="K305" s="311" t="n">
        <f aca="false">IF($I305="Critical Importance",20,IF($I305="Minor Importance",5,10))</f>
        <v>20</v>
      </c>
      <c r="L305" s="283" t="n">
        <f aca="false">IF($E305="Not Scored", "N/A",IF(AND($D305='Auto Responses'!$J$27,$H305=""),"N/A",IF(AND($D305='Auto Responses'!$J$27,$H305='Auto Responses'!$J$7),1,IF(AND($D305='Auto Responses'!$J$27,$H305='Auto Responses'!$J$8),0,IF(OR($F305=$G305,$H305='Auto Responses'!$J$7),1,0)))))</f>
        <v>0</v>
      </c>
      <c r="M305" s="311" t="str">
        <f aca="false">VLOOKUP($A305,'Institution Evaluation'!$A$56:$K$346,10,0)&amp;""</f>
        <v/>
      </c>
      <c r="N305" s="311" t="n">
        <f aca="false">IF($J305="Critical Importance",1,IF(AND($J305="",$I305="Critical Importance"),1,0))</f>
        <v>1</v>
      </c>
      <c r="O305" s="283" t="str">
        <f aca="false">IF(OR($F$20="No",$E305="Not Scored"),"N/A",IF($J305="",$K305,IF($J305="Minor Importance",5,IF($J305="Standard Importance",10,IF($J305="Critical Importance",20,0)))))</f>
        <v>N/A</v>
      </c>
      <c r="P305" s="283" t="str">
        <f aca="false">IF(OR($O305="N/A",$L305="N/A"),"N/A",$O305*$L305)</f>
        <v>N/A</v>
      </c>
      <c r="Q305" s="283" t="n">
        <f aca="false">IF(M305="TRUE",1,0)</f>
        <v>0</v>
      </c>
      <c r="R305" s="283" t="n">
        <f aca="false">R304+Q305</f>
        <v>0</v>
      </c>
      <c r="S305" s="283" t="n">
        <f aca="false">IF(Q305=0,0,R305)</f>
        <v>0</v>
      </c>
      <c r="T305" s="283" t="n">
        <f aca="false">IF(N305=1,1,0)</f>
        <v>1</v>
      </c>
      <c r="U305" s="283" t="n">
        <f aca="false">U304+T305</f>
        <v>73</v>
      </c>
      <c r="V305" s="283" t="n">
        <f aca="false">IF(T305=0,0,U305)</f>
        <v>73</v>
      </c>
    </row>
    <row r="306" customFormat="false" ht="26.85" hidden="false" customHeight="false" outlineLevel="0" collapsed="false">
      <c r="A306" s="311" t="str">
        <f aca="false">Questions!$A306</f>
        <v>AIGN-02</v>
      </c>
      <c r="B306" s="311" t="str">
        <f aca="false">LEFT(A306,4)</f>
        <v>AIGN</v>
      </c>
      <c r="C306" s="311" t="str">
        <f aca="false">VLOOKUP($A306,Questions!$A$3:$L$333,2,0)&amp;""</f>
        <v>Can your solution's AI features be disabled by tenant and/or user?*</v>
      </c>
      <c r="D306" s="311" t="str">
        <f aca="false">VLOOKUP($A306,Questions!$A$3:$L$333,11,0)&amp;""</f>
        <v/>
      </c>
      <c r="E306" s="311" t="str">
        <f aca="false">VLOOKUP($A306,Questions!$A$3:$L$333,12,0)&amp;""</f>
        <v>AI</v>
      </c>
      <c r="F306" s="311" t="str">
        <f aca="false">VLOOKUP($A306,'Institution Evaluation'!$A$56:$K$346,3,0)&amp;""</f>
        <v/>
      </c>
      <c r="G306" s="311" t="str">
        <f aca="false">VLOOKUP($A306,'Institution Evaluation'!$A$56:$K$346,7,0)&amp;""</f>
        <v>Yes</v>
      </c>
      <c r="H306" s="311" t="str">
        <f aca="false">VLOOKUP($A306,'Institution Evaluation'!$A$56:$K$346,8,0)&amp;""</f>
        <v/>
      </c>
      <c r="I306" s="311" t="str">
        <f aca="false">VLOOKUP($A306,'Institution Evaluation'!$A$56:$K$346,9,0)&amp;""</f>
        <v>Critical Importance</v>
      </c>
      <c r="J306" s="311" t="str">
        <f aca="false">VLOOKUP($A306,'Institution Evaluation'!$A$56:$K$346,10,0)&amp;""</f>
        <v/>
      </c>
      <c r="K306" s="311" t="n">
        <f aca="false">IF($I306="Critical Importance",20,IF($I306="Minor Importance",5,10))</f>
        <v>20</v>
      </c>
      <c r="L306" s="283" t="n">
        <f aca="false">IF($E306="Not Scored", "N/A",IF(AND($D306='Auto Responses'!$J$27,$H306=""),"N/A",IF(AND($D306='Auto Responses'!$J$27,$H306='Auto Responses'!$J$7),1,IF(AND($D306='Auto Responses'!$J$27,$H306='Auto Responses'!$J$8),0,IF(OR($F306=$G306,$H306='Auto Responses'!$J$7),1,0)))))</f>
        <v>0</v>
      </c>
      <c r="M306" s="311" t="str">
        <f aca="false">VLOOKUP($A306,'Institution Evaluation'!$A$56:$K$346,10,0)&amp;""</f>
        <v/>
      </c>
      <c r="N306" s="311" t="n">
        <f aca="false">IF($J306="Critical Importance",1,IF(AND($J306="",$I306="Critical Importance"),1,0))</f>
        <v>1</v>
      </c>
      <c r="O306" s="283" t="str">
        <f aca="false">IF(OR($F$20="No",$E306="Not Scored"),"N/A",IF($J306="",$K306,IF($J306="Minor Importance",5,IF($J306="Standard Importance",10,IF($J306="Critical Importance",20,0)))))</f>
        <v>N/A</v>
      </c>
      <c r="P306" s="283" t="str">
        <f aca="false">IF(OR($O306="N/A",$L306="N/A"),"N/A",$O306*$L306)</f>
        <v>N/A</v>
      </c>
      <c r="Q306" s="283" t="n">
        <f aca="false">IF(M306="TRUE",1,0)</f>
        <v>0</v>
      </c>
      <c r="R306" s="283" t="n">
        <f aca="false">R305+Q306</f>
        <v>0</v>
      </c>
      <c r="S306" s="283" t="n">
        <f aca="false">IF(Q306=0,0,R306)</f>
        <v>0</v>
      </c>
      <c r="T306" s="283" t="n">
        <f aca="false">IF(N306=1,1,0)</f>
        <v>1</v>
      </c>
      <c r="U306" s="283" t="n">
        <f aca="false">U305+T306</f>
        <v>74</v>
      </c>
      <c r="V306" s="283" t="n">
        <f aca="false">IF(T306=0,0,U306)</f>
        <v>74</v>
      </c>
    </row>
    <row r="307" customFormat="false" ht="26.85" hidden="false" customHeight="false" outlineLevel="0" collapsed="false">
      <c r="A307" s="311" t="str">
        <f aca="false">Questions!$A307</f>
        <v>AIGN-03</v>
      </c>
      <c r="B307" s="311" t="str">
        <f aca="false">LEFT(A307,4)</f>
        <v>AIGN</v>
      </c>
      <c r="C307" s="311" t="str">
        <f aca="false">VLOOKUP($A307,Questions!$A$3:$L$333,2,0)&amp;""</f>
        <v>Have your staff completed responsible AI training?*</v>
      </c>
      <c r="D307" s="311" t="str">
        <f aca="false">VLOOKUP($A307,Questions!$A$3:$L$333,11,0)&amp;""</f>
        <v/>
      </c>
      <c r="E307" s="311" t="str">
        <f aca="false">VLOOKUP($A307,Questions!$A$3:$L$333,12,0)&amp;""</f>
        <v>AI</v>
      </c>
      <c r="F307" s="311" t="str">
        <f aca="false">VLOOKUP($A307,'Institution Evaluation'!$A$56:$K$346,3,0)&amp;""</f>
        <v/>
      </c>
      <c r="G307" s="311" t="str">
        <f aca="false">VLOOKUP($A307,'Institution Evaluation'!$A$56:$K$346,7,0)&amp;""</f>
        <v>Yes</v>
      </c>
      <c r="H307" s="311" t="str">
        <f aca="false">VLOOKUP($A307,'Institution Evaluation'!$A$56:$K$346,8,0)&amp;""</f>
        <v/>
      </c>
      <c r="I307" s="311" t="str">
        <f aca="false">VLOOKUP($A307,'Institution Evaluation'!$A$56:$K$346,9,0)&amp;""</f>
        <v>Critical Importance</v>
      </c>
      <c r="J307" s="311" t="str">
        <f aca="false">VLOOKUP($A307,'Institution Evaluation'!$A$56:$K$346,10,0)&amp;""</f>
        <v/>
      </c>
      <c r="K307" s="311" t="n">
        <f aca="false">IF($I307="Critical Importance",20,IF($I307="Minor Importance",5,10))</f>
        <v>20</v>
      </c>
      <c r="L307" s="283" t="n">
        <f aca="false">IF($E307="Not Scored", "N/A",IF(AND($D307='Auto Responses'!$J$27,$H307=""),"N/A",IF(AND($D307='Auto Responses'!$J$27,$H307='Auto Responses'!$J$7),1,IF(AND($D307='Auto Responses'!$J$27,$H307='Auto Responses'!$J$8),0,IF(OR($F307=$G307,$H307='Auto Responses'!$J$7),1,0)))))</f>
        <v>0</v>
      </c>
      <c r="M307" s="311" t="str">
        <f aca="false">VLOOKUP($A307,'Institution Evaluation'!$A$56:$K$346,10,0)&amp;""</f>
        <v/>
      </c>
      <c r="N307" s="311" t="n">
        <f aca="false">IF($J307="Critical Importance",1,IF(AND($J307="",$I307="Critical Importance"),1,0))</f>
        <v>1</v>
      </c>
      <c r="O307" s="283" t="str">
        <f aca="false">IF(OR($F$20="No",$E307="Not Scored"),"N/A",IF($J307="",$K307,IF($J307="Minor Importance",5,IF($J307="Standard Importance",10,IF($J307="Critical Importance",20,0)))))</f>
        <v>N/A</v>
      </c>
      <c r="P307" s="283" t="str">
        <f aca="false">IF(OR($O307="N/A",$L307="N/A"),"N/A",$O307*$L307)</f>
        <v>N/A</v>
      </c>
      <c r="Q307" s="283" t="n">
        <f aca="false">IF(M307="TRUE",1,0)</f>
        <v>0</v>
      </c>
      <c r="R307" s="283" t="n">
        <f aca="false">R306+Q307</f>
        <v>0</v>
      </c>
      <c r="S307" s="283" t="n">
        <f aca="false">IF(Q307=0,0,R307)</f>
        <v>0</v>
      </c>
      <c r="T307" s="283" t="n">
        <f aca="false">IF(N307=1,1,0)</f>
        <v>1</v>
      </c>
      <c r="U307" s="283" t="n">
        <f aca="false">U306+T307</f>
        <v>75</v>
      </c>
      <c r="V307" s="283" t="n">
        <f aca="false">IF(T307=0,0,U307)</f>
        <v>75</v>
      </c>
    </row>
    <row r="308" customFormat="false" ht="26.85" hidden="false" customHeight="false" outlineLevel="0" collapsed="false">
      <c r="A308" s="311" t="str">
        <f aca="false">Questions!$A308</f>
        <v>AIGN-04</v>
      </c>
      <c r="B308" s="311" t="str">
        <f aca="false">LEFT(A308,4)</f>
        <v>AIGN</v>
      </c>
      <c r="C308" s="311" t="str">
        <f aca="false">VLOOKUP($A308,Questions!$A$3:$L$333,2,0)&amp;""</f>
        <v>Please describe the capabilities of your solution's AI features.</v>
      </c>
      <c r="D308" s="311" t="str">
        <f aca="false">VLOOKUP($A308,Questions!$A$3:$L$333,11,0)&amp;""</f>
        <v/>
      </c>
      <c r="E308" s="311" t="str">
        <f aca="false">VLOOKUP($A308,Questions!$A$3:$L$333,12,0)&amp;""</f>
        <v>Not scored</v>
      </c>
      <c r="F308" s="311" t="str">
        <f aca="false">VLOOKUP($A308,'Institution Evaluation'!$A$56:$K$346,3,0)&amp;""</f>
        <v/>
      </c>
      <c r="G308" s="311" t="str">
        <f aca="false">VLOOKUP($A308,'Institution Evaluation'!$A$56:$K$346,7,0)&amp;""</f>
        <v>Not scored</v>
      </c>
      <c r="H308" s="311" t="str">
        <f aca="false">VLOOKUP($A308,'Institution Evaluation'!$A$56:$K$346,8,0)&amp;""</f>
        <v/>
      </c>
      <c r="I308" s="311" t="str">
        <f aca="false">VLOOKUP($A308,'Institution Evaluation'!$A$56:$K$346,9,0)&amp;""</f>
        <v/>
      </c>
      <c r="J308" s="311" t="str">
        <f aca="false">VLOOKUP($A308,'Institution Evaluation'!$A$56:$K$346,10,0)&amp;""</f>
        <v/>
      </c>
      <c r="K308" s="311" t="n">
        <f aca="false">IF($I308="Critical Importance",20,IF($I308="Minor Importance",5,10))</f>
        <v>10</v>
      </c>
      <c r="L308" s="283" t="str">
        <f aca="false">IF($E308="Not Scored", "N/A",IF(AND($D308='Auto Responses'!$J$27,$H308=""),"N/A",IF(AND($D308='Auto Responses'!$J$27,$H308='Auto Responses'!$J$7),1,IF(AND($D308='Auto Responses'!$J$27,$H308='Auto Responses'!$J$8),0,IF(OR($F308=$G308,$H308='Auto Responses'!$J$7),1,0)))))</f>
        <v>N/A</v>
      </c>
      <c r="M308" s="311" t="str">
        <f aca="false">VLOOKUP($A308,'Institution Evaluation'!$A$56:$K$346,10,0)&amp;""</f>
        <v/>
      </c>
      <c r="N308" s="311" t="n">
        <f aca="false">IF($J308="Critical Importance",1,IF(AND($J308="",$I308="Critical Importance"),1,0))</f>
        <v>0</v>
      </c>
      <c r="O308" s="283" t="str">
        <f aca="false">IF(OR($F$20="No",$E308="Not Scored"),"N/A",IF($J308="",$K308,IF($J308="Minor Importance",5,IF($J308="Standard Importance",10,IF($J308="Critical Importance",20,0)))))</f>
        <v>N/A</v>
      </c>
      <c r="P308" s="283" t="str">
        <f aca="false">IF(OR($O308="N/A",$L308="N/A"),"N/A",$O308*$L308)</f>
        <v>N/A</v>
      </c>
      <c r="Q308" s="283" t="n">
        <f aca="false">IF(M308="TRUE",1,0)</f>
        <v>0</v>
      </c>
      <c r="R308" s="283" t="n">
        <f aca="false">R307+Q308</f>
        <v>0</v>
      </c>
      <c r="S308" s="283" t="n">
        <f aca="false">IF(Q308=0,0,R308)</f>
        <v>0</v>
      </c>
      <c r="T308" s="283" t="n">
        <f aca="false">IF(N308=1,1,0)</f>
        <v>0</v>
      </c>
      <c r="U308" s="283" t="n">
        <f aca="false">U307+T308</f>
        <v>75</v>
      </c>
      <c r="V308" s="283" t="n">
        <f aca="false">IF(T308=0,0,U308)</f>
        <v>0</v>
      </c>
    </row>
    <row r="309" customFormat="false" ht="39.55" hidden="false" customHeight="false" outlineLevel="0" collapsed="false">
      <c r="A309" s="311" t="str">
        <f aca="false">Questions!$A309</f>
        <v>AIGN-05</v>
      </c>
      <c r="B309" s="311" t="str">
        <f aca="false">LEFT(A309,4)</f>
        <v>AIGN</v>
      </c>
      <c r="C309" s="311" t="str">
        <f aca="false">VLOOKUP($A309,Questions!$A$3:$L$333,2,0)&amp;""</f>
        <v>Does your solution support business rules to protect sensitive data from being ingested by the AI model?</v>
      </c>
      <c r="D309" s="311" t="str">
        <f aca="false">VLOOKUP($A309,Questions!$A$3:$L$333,11,0)&amp;""</f>
        <v/>
      </c>
      <c r="E309" s="311" t="str">
        <f aca="false">VLOOKUP($A309,Questions!$A$3:$L$333,12,0)&amp;""</f>
        <v>AI</v>
      </c>
      <c r="F309" s="311" t="str">
        <f aca="false">VLOOKUP($A309,'Institution Evaluation'!$A$56:$K$346,3,0)&amp;""</f>
        <v/>
      </c>
      <c r="G309" s="311" t="str">
        <f aca="false">VLOOKUP($A309,'Institution Evaluation'!$A$56:$K$346,7,0)&amp;""</f>
        <v>Yes</v>
      </c>
      <c r="H309" s="311" t="str">
        <f aca="false">VLOOKUP($A309,'Institution Evaluation'!$A$56:$K$346,8,0)&amp;""</f>
        <v/>
      </c>
      <c r="I309" s="311" t="str">
        <f aca="false">VLOOKUP($A309,'Institution Evaluation'!$A$56:$K$346,9,0)&amp;""</f>
        <v>Standard Importance</v>
      </c>
      <c r="J309" s="311" t="str">
        <f aca="false">VLOOKUP($A309,'Institution Evaluation'!$A$56:$K$346,10,0)&amp;""</f>
        <v/>
      </c>
      <c r="K309" s="311" t="n">
        <f aca="false">IF($I309="Critical Importance",20,IF($I309="Minor Importance",5,10))</f>
        <v>10</v>
      </c>
      <c r="L309" s="283" t="n">
        <f aca="false">IF($E309="Not Scored", "N/A",IF(AND($D309='Auto Responses'!$J$27,$H309=""),"N/A",IF(AND($D309='Auto Responses'!$J$27,$H309='Auto Responses'!$J$7),1,IF(AND($D309='Auto Responses'!$J$27,$H309='Auto Responses'!$J$8),0,IF(OR($F309=$G309,$H309='Auto Responses'!$J$7),1,0)))))</f>
        <v>0</v>
      </c>
      <c r="M309" s="311" t="str">
        <f aca="false">VLOOKUP($A309,'Institution Evaluation'!$A$56:$K$346,10,0)&amp;""</f>
        <v/>
      </c>
      <c r="N309" s="311" t="n">
        <f aca="false">IF($J309="Critical Importance",1,IF(AND($J309="",$I309="Critical Importance"),1,0))</f>
        <v>0</v>
      </c>
      <c r="O309" s="283" t="str">
        <f aca="false">IF(OR($F$20="No",$E309="Not Scored"),"N/A",IF($J309="",$K309,IF($J309="Minor Importance",5,IF($J309="Standard Importance",10,IF($J309="Critical Importance",20,0)))))</f>
        <v>N/A</v>
      </c>
      <c r="P309" s="283" t="str">
        <f aca="false">IF(OR($O309="N/A",$L309="N/A"),"N/A",$O309*$L309)</f>
        <v>N/A</v>
      </c>
      <c r="Q309" s="283" t="n">
        <f aca="false">IF(M309="TRUE",1,0)</f>
        <v>0</v>
      </c>
      <c r="R309" s="283" t="n">
        <f aca="false">R308+Q309</f>
        <v>0</v>
      </c>
      <c r="S309" s="283" t="n">
        <f aca="false">IF(Q309=0,0,R309)</f>
        <v>0</v>
      </c>
      <c r="T309" s="283" t="n">
        <f aca="false">IF(N309=1,1,0)</f>
        <v>0</v>
      </c>
      <c r="U309" s="283" t="n">
        <f aca="false">U308+T309</f>
        <v>75</v>
      </c>
      <c r="V309" s="283" t="n">
        <f aca="false">IF(T309=0,0,U309)</f>
        <v>0</v>
      </c>
    </row>
    <row r="310" customFormat="false" ht="77.6" hidden="false" customHeight="false" outlineLevel="0" collapsed="false">
      <c r="A310" s="311" t="str">
        <f aca="false">Questions!$A310</f>
        <v>AIPL-01</v>
      </c>
      <c r="B310" s="311" t="str">
        <f aca="false">LEFT(A310,4)</f>
        <v>AIPL</v>
      </c>
      <c r="C310" s="311" t="str">
        <f aca="false">VLOOKUP($A310,Questions!$A$3:$L$333,2,0)&amp;""</f>
        <v>Are your AI developer's policies, processes, procedures, and practices across the organization related to the mapping, measuring, and managing of AI risks conspicuously posted, unambiguous, and implemented effectively?*</v>
      </c>
      <c r="D310" s="311" t="str">
        <f aca="false">VLOOKUP($A310,Questions!$A$3:$L$333,11,0)&amp;""</f>
        <v/>
      </c>
      <c r="E310" s="311" t="str">
        <f aca="false">VLOOKUP($A310,Questions!$A$3:$L$333,12,0)&amp;""</f>
        <v>AI</v>
      </c>
      <c r="F310" s="311" t="str">
        <f aca="false">VLOOKUP($A310,'Institution Evaluation'!$A$56:$K$346,3,0)&amp;""</f>
        <v/>
      </c>
      <c r="G310" s="311" t="str">
        <f aca="false">VLOOKUP($A310,'Institution Evaluation'!$A$56:$K$346,7,0)&amp;""</f>
        <v>Yes</v>
      </c>
      <c r="H310" s="311" t="str">
        <f aca="false">VLOOKUP($A310,'Institution Evaluation'!$A$56:$K$346,8,0)&amp;""</f>
        <v/>
      </c>
      <c r="I310" s="311" t="str">
        <f aca="false">VLOOKUP($A310,'Institution Evaluation'!$A$56:$K$346,9,0)&amp;""</f>
        <v>Critical Importance</v>
      </c>
      <c r="J310" s="311" t="str">
        <f aca="false">VLOOKUP($A310,'Institution Evaluation'!$A$56:$K$346,10,0)&amp;""</f>
        <v/>
      </c>
      <c r="K310" s="311" t="n">
        <f aca="false">IF($I310="Critical Importance",20,IF($I310="Minor Importance",5,10))</f>
        <v>20</v>
      </c>
      <c r="L310" s="283" t="n">
        <f aca="false">IF($E310="Not Scored", "N/A",IF(AND($D310='Auto Responses'!$J$27,$H310=""),"N/A",IF(AND($D310='Auto Responses'!$J$27,$H310='Auto Responses'!$J$7),1,IF(AND($D310='Auto Responses'!$J$27,$H310='Auto Responses'!$J$8),0,IF(OR($F310=$G310,$H310='Auto Responses'!$J$7),1,0)))))</f>
        <v>0</v>
      </c>
      <c r="M310" s="311" t="str">
        <f aca="false">VLOOKUP($A310,'Institution Evaluation'!$A$56:$K$346,10,0)&amp;""</f>
        <v/>
      </c>
      <c r="N310" s="311" t="n">
        <f aca="false">IF($J310="Critical Importance",1,IF(AND($J310="",$I310="Critical Importance"),1,0))</f>
        <v>1</v>
      </c>
      <c r="O310" s="283" t="str">
        <f aca="false">IF(OR($F$20="No",$E310="Not Scored"),"N/A",IF($J310="",$K310,IF($J310="Minor Importance",5,IF($J310="Standard Importance",10,IF($J310="Critical Importance",20,0)))))</f>
        <v>N/A</v>
      </c>
      <c r="P310" s="283" t="str">
        <f aca="false">IF(OR($O310="N/A",$L310="N/A"),"N/A",$O310*$L310)</f>
        <v>N/A</v>
      </c>
      <c r="Q310" s="283" t="n">
        <f aca="false">IF(M310="TRUE",1,0)</f>
        <v>0</v>
      </c>
      <c r="R310" s="283" t="n">
        <f aca="false">R309+Q310</f>
        <v>0</v>
      </c>
      <c r="S310" s="283" t="n">
        <f aca="false">IF(Q310=0,0,R310)</f>
        <v>0</v>
      </c>
      <c r="T310" s="283" t="n">
        <f aca="false">IF(N310=1,1,0)</f>
        <v>1</v>
      </c>
      <c r="U310" s="283" t="n">
        <f aca="false">U309+T310</f>
        <v>76</v>
      </c>
      <c r="V310" s="283" t="n">
        <f aca="false">IF(T310=0,0,U310)</f>
        <v>76</v>
      </c>
    </row>
    <row r="311" customFormat="false" ht="26.85" hidden="false" customHeight="false" outlineLevel="0" collapsed="false">
      <c r="A311" s="311" t="str">
        <f aca="false">Questions!$A311</f>
        <v>AIPL-02</v>
      </c>
      <c r="B311" s="311" t="str">
        <f aca="false">LEFT(A311,4)</f>
        <v>AIPL</v>
      </c>
      <c r="C311" s="311" t="str">
        <f aca="false">VLOOKUP($A311,Questions!$A$3:$L$333,2,0)&amp;""</f>
        <v>Have you identified and measured AI risks?*</v>
      </c>
      <c r="D311" s="311" t="str">
        <f aca="false">VLOOKUP($A311,Questions!$A$3:$L$333,11,0)&amp;""</f>
        <v/>
      </c>
      <c r="E311" s="311" t="str">
        <f aca="false">VLOOKUP($A311,Questions!$A$3:$L$333,12,0)&amp;""</f>
        <v>AI</v>
      </c>
      <c r="F311" s="311" t="str">
        <f aca="false">VLOOKUP($A311,'Institution Evaluation'!$A$56:$K$346,3,0)&amp;""</f>
        <v/>
      </c>
      <c r="G311" s="311" t="str">
        <f aca="false">VLOOKUP($A311,'Institution Evaluation'!$A$56:$K$346,7,0)&amp;""</f>
        <v>Yes</v>
      </c>
      <c r="H311" s="311" t="str">
        <f aca="false">VLOOKUP($A311,'Institution Evaluation'!$A$56:$K$346,8,0)&amp;""</f>
        <v/>
      </c>
      <c r="I311" s="311" t="str">
        <f aca="false">VLOOKUP($A311,'Institution Evaluation'!$A$56:$K$346,9,0)&amp;""</f>
        <v>Critical Importance</v>
      </c>
      <c r="J311" s="311" t="str">
        <f aca="false">VLOOKUP($A311,'Institution Evaluation'!$A$56:$K$346,10,0)&amp;""</f>
        <v/>
      </c>
      <c r="K311" s="311" t="n">
        <f aca="false">IF($I311="Critical Importance",20,IF($I311="Minor Importance",5,10))</f>
        <v>20</v>
      </c>
      <c r="L311" s="283" t="n">
        <f aca="false">IF($E311="Not Scored", "N/A",IF(AND($D311='Auto Responses'!$J$27,$H311=""),"N/A",IF(AND($D311='Auto Responses'!$J$27,$H311='Auto Responses'!$J$7),1,IF(AND($D311='Auto Responses'!$J$27,$H311='Auto Responses'!$J$8),0,IF(OR($F311=$G311,$H311='Auto Responses'!$J$7),1,0)))))</f>
        <v>0</v>
      </c>
      <c r="M311" s="311" t="str">
        <f aca="false">VLOOKUP($A311,'Institution Evaluation'!$A$56:$K$346,10,0)&amp;""</f>
        <v/>
      </c>
      <c r="N311" s="311" t="n">
        <f aca="false">IF($J311="Critical Importance",1,IF(AND($J311="",$I311="Critical Importance"),1,0))</f>
        <v>1</v>
      </c>
      <c r="O311" s="283" t="str">
        <f aca="false">IF(OR($F$20="No",$E311="Not Scored"),"N/A",IF($J311="",$K311,IF($J311="Minor Importance",5,IF($J311="Standard Importance",10,IF($J311="Critical Importance",20,0)))))</f>
        <v>N/A</v>
      </c>
      <c r="P311" s="283" t="str">
        <f aca="false">IF(OR($O311="N/A",$L311="N/A"),"N/A",$O311*$L311)</f>
        <v>N/A</v>
      </c>
      <c r="Q311" s="283" t="n">
        <f aca="false">IF(M311="TRUE",1,0)</f>
        <v>0</v>
      </c>
      <c r="R311" s="283" t="n">
        <f aca="false">R310+Q311</f>
        <v>0</v>
      </c>
      <c r="S311" s="283" t="n">
        <f aca="false">IF(Q311=0,0,R311)</f>
        <v>0</v>
      </c>
      <c r="T311" s="283" t="n">
        <f aca="false">IF(N311=1,1,0)</f>
        <v>1</v>
      </c>
      <c r="U311" s="283" t="n">
        <f aca="false">U310+T311</f>
        <v>77</v>
      </c>
      <c r="V311" s="283" t="n">
        <f aca="false">IF(T311=0,0,U311)</f>
        <v>77</v>
      </c>
    </row>
    <row r="312" customFormat="false" ht="26.85" hidden="false" customHeight="false" outlineLevel="0" collapsed="false">
      <c r="A312" s="311" t="str">
        <f aca="false">Questions!$A312</f>
        <v>AIPL-03</v>
      </c>
      <c r="B312" s="311" t="str">
        <f aca="false">LEFT(A312,4)</f>
        <v>AIPL</v>
      </c>
      <c r="C312" s="311" t="str">
        <f aca="false">VLOOKUP($A312,Questions!$A$3:$L$333,2,0)&amp;""</f>
        <v>In the event of an incident, can your solution's AI features be disabled in a timely manner?*</v>
      </c>
      <c r="D312" s="311" t="str">
        <f aca="false">VLOOKUP($A312,Questions!$A$3:$L$333,11,0)&amp;""</f>
        <v/>
      </c>
      <c r="E312" s="311" t="str">
        <f aca="false">VLOOKUP($A312,Questions!$A$3:$L$333,12,0)&amp;""</f>
        <v>AI</v>
      </c>
      <c r="F312" s="311" t="str">
        <f aca="false">VLOOKUP($A312,'Institution Evaluation'!$A$56:$K$346,3,0)&amp;""</f>
        <v/>
      </c>
      <c r="G312" s="311" t="str">
        <f aca="false">VLOOKUP($A312,'Institution Evaluation'!$A$56:$K$346,7,0)&amp;""</f>
        <v>Yes</v>
      </c>
      <c r="H312" s="311" t="str">
        <f aca="false">VLOOKUP($A312,'Institution Evaluation'!$A$56:$K$346,8,0)&amp;""</f>
        <v/>
      </c>
      <c r="I312" s="311" t="str">
        <f aca="false">VLOOKUP($A312,'Institution Evaluation'!$A$56:$K$346,9,0)&amp;""</f>
        <v>Critical Importance</v>
      </c>
      <c r="J312" s="311" t="str">
        <f aca="false">VLOOKUP($A312,'Institution Evaluation'!$A$56:$K$346,10,0)&amp;""</f>
        <v/>
      </c>
      <c r="K312" s="311" t="n">
        <f aca="false">IF($I312="Critical Importance",20,IF($I312="Minor Importance",5,10))</f>
        <v>20</v>
      </c>
      <c r="L312" s="283" t="n">
        <f aca="false">IF($E312="Not Scored", "N/A",IF(AND($D312='Auto Responses'!$J$27,$H312=""),"N/A",IF(AND($D312='Auto Responses'!$J$27,$H312='Auto Responses'!$J$7),1,IF(AND($D312='Auto Responses'!$J$27,$H312='Auto Responses'!$J$8),0,IF(OR($F312=$G312,$H312='Auto Responses'!$J$7),1,0)))))</f>
        <v>0</v>
      </c>
      <c r="M312" s="311" t="str">
        <f aca="false">VLOOKUP($A312,'Institution Evaluation'!$A$56:$K$346,10,0)&amp;""</f>
        <v/>
      </c>
      <c r="N312" s="311" t="n">
        <f aca="false">IF($J312="Critical Importance",1,IF(AND($J312="",$I312="Critical Importance"),1,0))</f>
        <v>1</v>
      </c>
      <c r="O312" s="283" t="str">
        <f aca="false">IF(OR($F$20="No",$E312="Not Scored"),"N/A",IF($J312="",$K312,IF($J312="Minor Importance",5,IF($J312="Standard Importance",10,IF($J312="Critical Importance",20,0)))))</f>
        <v>N/A</v>
      </c>
      <c r="P312" s="283" t="str">
        <f aca="false">IF(OR($O312="N/A",$L312="N/A"),"N/A",$O312*$L312)</f>
        <v>N/A</v>
      </c>
      <c r="Q312" s="283" t="n">
        <f aca="false">IF(M312="TRUE",1,0)</f>
        <v>0</v>
      </c>
      <c r="R312" s="283" t="n">
        <f aca="false">R311+Q312</f>
        <v>0</v>
      </c>
      <c r="S312" s="283" t="n">
        <f aca="false">IF(Q312=0,0,R312)</f>
        <v>0</v>
      </c>
      <c r="T312" s="283" t="n">
        <f aca="false">IF(N312=1,1,0)</f>
        <v>1</v>
      </c>
      <c r="U312" s="283" t="n">
        <f aca="false">U311+T312</f>
        <v>78</v>
      </c>
      <c r="V312" s="283" t="n">
        <f aca="false">IF(T312=0,0,U312)</f>
        <v>78</v>
      </c>
    </row>
    <row r="313" customFormat="false" ht="39.55" hidden="false" customHeight="false" outlineLevel="0" collapsed="false">
      <c r="A313" s="311" t="str">
        <f aca="false">Questions!$A313</f>
        <v>AIPL-04</v>
      </c>
      <c r="B313" s="311" t="str">
        <f aca="false">LEFT(A313,4)</f>
        <v>AIPL</v>
      </c>
      <c r="C313" s="311" t="str">
        <f aca="false">VLOOKUP($A313,Questions!$A$3:$L$333,2,0)&amp;""</f>
        <v>If disabled because of an incident, can your solution's AI features be re-enabled in a timely manner?*</v>
      </c>
      <c r="D313" s="311" t="str">
        <f aca="false">VLOOKUP($A313,Questions!$A$3:$L$333,11,0)&amp;""</f>
        <v/>
      </c>
      <c r="E313" s="311" t="str">
        <f aca="false">VLOOKUP($A313,Questions!$A$3:$L$333,12,0)&amp;""</f>
        <v>AI</v>
      </c>
      <c r="F313" s="311" t="str">
        <f aca="false">VLOOKUP($A313,'Institution Evaluation'!$A$56:$K$346,3,0)&amp;""</f>
        <v/>
      </c>
      <c r="G313" s="311" t="str">
        <f aca="false">VLOOKUP($A313,'Institution Evaluation'!$A$56:$K$346,7,0)&amp;""</f>
        <v>Yes</v>
      </c>
      <c r="H313" s="311" t="str">
        <f aca="false">VLOOKUP($A313,'Institution Evaluation'!$A$56:$K$346,8,0)&amp;""</f>
        <v/>
      </c>
      <c r="I313" s="311" t="str">
        <f aca="false">VLOOKUP($A313,'Institution Evaluation'!$A$56:$K$346,9,0)&amp;""</f>
        <v>Critical Importance</v>
      </c>
      <c r="J313" s="311" t="str">
        <f aca="false">VLOOKUP($A313,'Institution Evaluation'!$A$56:$K$346,10,0)&amp;""</f>
        <v/>
      </c>
      <c r="K313" s="311" t="n">
        <f aca="false">IF($I313="Critical Importance",20,IF($I313="Minor Importance",5,10))</f>
        <v>20</v>
      </c>
      <c r="L313" s="283" t="n">
        <f aca="false">IF($E313="Not Scored", "N/A",IF(AND($D313='Auto Responses'!$J$27,$H313=""),"N/A",IF(AND($D313='Auto Responses'!$J$27,$H313='Auto Responses'!$J$7),1,IF(AND($D313='Auto Responses'!$J$27,$H313='Auto Responses'!$J$8),0,IF(OR($F313=$G313,$H313='Auto Responses'!$J$7),1,0)))))</f>
        <v>0</v>
      </c>
      <c r="M313" s="311" t="str">
        <f aca="false">VLOOKUP($A313,'Institution Evaluation'!$A$56:$K$346,10,0)&amp;""</f>
        <v/>
      </c>
      <c r="N313" s="311" t="n">
        <f aca="false">IF($J313="Critical Importance",1,IF(AND($J313="",$I313="Critical Importance"),1,0))</f>
        <v>1</v>
      </c>
      <c r="O313" s="283" t="str">
        <f aca="false">IF(OR($F$20="No",$E313="Not Scored",$F313="N/A"),"N/A",IF($J313="",$K313,IF($J313="Minor Importance",5,IF($J313="Standard Importance",10,IF($J313="Critical Importance",20,0)))))</f>
        <v>N/A</v>
      </c>
      <c r="P313" s="283" t="str">
        <f aca="false">IF(OR($O313="N/A",$L313="N/A"),"N/A",$O313*$L313)</f>
        <v>N/A</v>
      </c>
      <c r="Q313" s="283" t="n">
        <f aca="false">IF(M313="TRUE",1,0)</f>
        <v>0</v>
      </c>
      <c r="R313" s="283" t="n">
        <f aca="false">R312+Q313</f>
        <v>0</v>
      </c>
      <c r="S313" s="283" t="n">
        <f aca="false">IF(Q313=0,0,R313)</f>
        <v>0</v>
      </c>
      <c r="T313" s="283" t="n">
        <f aca="false">IF(N313=1,1,0)</f>
        <v>1</v>
      </c>
      <c r="U313" s="283" t="n">
        <f aca="false">U312+T313</f>
        <v>79</v>
      </c>
      <c r="V313" s="283" t="n">
        <f aca="false">IF(T313=0,0,U313)</f>
        <v>79</v>
      </c>
    </row>
    <row r="314" customFormat="false" ht="52.2" hidden="false" customHeight="false" outlineLevel="0" collapsed="false">
      <c r="A314" s="311" t="str">
        <f aca="false">Questions!$A314</f>
        <v>AIPL-05</v>
      </c>
      <c r="B314" s="311" t="str">
        <f aca="false">LEFT(A314,4)</f>
        <v>AIPL</v>
      </c>
      <c r="C314" s="311" t="str">
        <f aca="false">VLOOKUP($A314,Questions!$A$3:$L$333,2,0)&amp;""</f>
        <v>Do you have documented technical and procedural processes to address potential negative impacts of AI as described by the AI Risk Management Framework (RMF)?</v>
      </c>
      <c r="D314" s="311" t="str">
        <f aca="false">VLOOKUP($A314,Questions!$A$3:$L$333,11,0)&amp;""</f>
        <v/>
      </c>
      <c r="E314" s="311" t="str">
        <f aca="false">VLOOKUP($A314,Questions!$A$3:$L$333,12,0)&amp;""</f>
        <v>AI</v>
      </c>
      <c r="F314" s="311" t="str">
        <f aca="false">VLOOKUP($A314,'Institution Evaluation'!$A$56:$K$346,3,0)&amp;""</f>
        <v/>
      </c>
      <c r="G314" s="311" t="str">
        <f aca="false">VLOOKUP($A314,'Institution Evaluation'!$A$56:$K$346,7,0)&amp;""</f>
        <v>Yes</v>
      </c>
      <c r="H314" s="311" t="str">
        <f aca="false">VLOOKUP($A314,'Institution Evaluation'!$A$56:$K$346,8,0)&amp;""</f>
        <v/>
      </c>
      <c r="I314" s="311" t="str">
        <f aca="false">VLOOKUP($A314,'Institution Evaluation'!$A$56:$K$346,9,0)&amp;""</f>
        <v>Minor Importance</v>
      </c>
      <c r="J314" s="311" t="str">
        <f aca="false">VLOOKUP($A314,'Institution Evaluation'!$A$56:$K$346,10,0)&amp;""</f>
        <v/>
      </c>
      <c r="K314" s="311" t="n">
        <f aca="false">IF($I314="Critical Importance",20,IF($I314="Minor Importance",5,10))</f>
        <v>5</v>
      </c>
      <c r="L314" s="283" t="n">
        <f aca="false">IF($E314="Not Scored", "N/A",IF(AND($D314='Auto Responses'!$J$27,$H314=""),"N/A",IF(AND($D314='Auto Responses'!$J$27,$H314='Auto Responses'!$J$7),1,IF(AND($D314='Auto Responses'!$J$27,$H314='Auto Responses'!$J$8),0,IF(OR($F314=$G314,$H314='Auto Responses'!$J$7),1,0)))))</f>
        <v>0</v>
      </c>
      <c r="M314" s="311" t="str">
        <f aca="false">VLOOKUP($A314,'Institution Evaluation'!$A$56:$K$346,10,0)&amp;""</f>
        <v/>
      </c>
      <c r="N314" s="311" t="n">
        <f aca="false">IF($J314="Critical Importance",1,IF(AND($J314="",$I314="Critical Importance"),1,0))</f>
        <v>0</v>
      </c>
      <c r="O314" s="283" t="str">
        <f aca="false">IF(OR($F$20="No",$E314="Not Scored"),"N/A",IF($J314="",$K314,IF($J314="Minor Importance",5,IF($J314="Standard Importance",10,IF($J314="Critical Importance",20,0)))))</f>
        <v>N/A</v>
      </c>
      <c r="P314" s="283" t="str">
        <f aca="false">IF(OR($O314="N/A",$L314="N/A"),"N/A",$O314*$L314)</f>
        <v>N/A</v>
      </c>
      <c r="Q314" s="283" t="n">
        <f aca="false">IF(M314="TRUE",1,0)</f>
        <v>0</v>
      </c>
      <c r="R314" s="283" t="n">
        <f aca="false">R313+Q314</f>
        <v>0</v>
      </c>
      <c r="S314" s="283" t="n">
        <f aca="false">IF(Q314=0,0,R314)</f>
        <v>0</v>
      </c>
      <c r="T314" s="283" t="n">
        <f aca="false">IF(N314=1,1,0)</f>
        <v>0</v>
      </c>
      <c r="U314" s="283" t="n">
        <f aca="false">U313+T314</f>
        <v>79</v>
      </c>
      <c r="V314" s="283" t="n">
        <f aca="false">IF(T314=0,0,U314)</f>
        <v>0</v>
      </c>
    </row>
    <row r="315" customFormat="false" ht="39.55" hidden="false" customHeight="false" outlineLevel="0" collapsed="false">
      <c r="A315" s="311" t="str">
        <f aca="false">Questions!$A315</f>
        <v>AISC-01</v>
      </c>
      <c r="B315" s="311" t="str">
        <f aca="false">LEFT(A315,4)</f>
        <v>AISC</v>
      </c>
      <c r="C315" s="311" t="str">
        <f aca="false">VLOOKUP($A315,Questions!$A$3:$L$333,2,0)&amp;""</f>
        <v>If sensitive data is introduced to your solution's AI model, can the data be removed from the AI model by request?*</v>
      </c>
      <c r="D315" s="311" t="str">
        <f aca="false">VLOOKUP($A315,Questions!$A$3:$L$333,11,0)&amp;""</f>
        <v/>
      </c>
      <c r="E315" s="311" t="str">
        <f aca="false">VLOOKUP($A315,Questions!$A$3:$L$333,12,0)&amp;""</f>
        <v>AI</v>
      </c>
      <c r="F315" s="311" t="str">
        <f aca="false">VLOOKUP($A315,'Institution Evaluation'!$A$56:$K$346,3,0)&amp;""</f>
        <v/>
      </c>
      <c r="G315" s="311" t="str">
        <f aca="false">VLOOKUP($A315,'Institution Evaluation'!$A$56:$K$346,7,0)&amp;""</f>
        <v>Yes</v>
      </c>
      <c r="H315" s="311" t="str">
        <f aca="false">VLOOKUP($A315,'Institution Evaluation'!$A$56:$K$346,8,0)&amp;""</f>
        <v/>
      </c>
      <c r="I315" s="311" t="str">
        <f aca="false">VLOOKUP($A315,'Institution Evaluation'!$A$56:$K$346,9,0)&amp;""</f>
        <v>Critical Importance</v>
      </c>
      <c r="J315" s="311" t="str">
        <f aca="false">VLOOKUP($A315,'Institution Evaluation'!$A$56:$K$346,10,0)&amp;""</f>
        <v/>
      </c>
      <c r="K315" s="311" t="n">
        <f aca="false">IF($I315="Critical Importance",20,IF($I315="Minor Importance",5,10))</f>
        <v>20</v>
      </c>
      <c r="L315" s="283" t="n">
        <f aca="false">IF($E315="Not Scored", "N/A",IF(AND($D315='Auto Responses'!$J$27,$H315=""),"N/A",IF(AND($D315='Auto Responses'!$J$27,$H315='Auto Responses'!$J$7),1,IF(AND($D315='Auto Responses'!$J$27,$H315='Auto Responses'!$J$8),0,IF(OR($F315=$G315,$H315='Auto Responses'!$J$7),1,0)))))</f>
        <v>0</v>
      </c>
      <c r="M315" s="311" t="str">
        <f aca="false">VLOOKUP($A315,'Institution Evaluation'!$A$56:$K$346,10,0)&amp;""</f>
        <v/>
      </c>
      <c r="N315" s="311" t="n">
        <f aca="false">IF($J315="Critical Importance",1,IF(AND($J315="",$I315="Critical Importance"),1,0))</f>
        <v>1</v>
      </c>
      <c r="O315" s="283" t="str">
        <f aca="false">IF(OR($F$20="No",$E315="Not Scored"),"N/A",IF($J315="",$K315,IF($J315="Minor Importance",5,IF($J315="Standard Importance",10,IF($J315="Critical Importance",20,0)))))</f>
        <v>N/A</v>
      </c>
      <c r="P315" s="283" t="str">
        <f aca="false">IF(OR($O315="N/A",$L315="N/A"),"N/A",$O315*$L315)</f>
        <v>N/A</v>
      </c>
      <c r="Q315" s="283" t="n">
        <f aca="false">IF(M315="TRUE",1,0)</f>
        <v>0</v>
      </c>
      <c r="R315" s="283" t="n">
        <f aca="false">R314+Q315</f>
        <v>0</v>
      </c>
      <c r="S315" s="283" t="n">
        <f aca="false">IF(Q315=0,0,R315)</f>
        <v>0</v>
      </c>
      <c r="T315" s="283" t="n">
        <f aca="false">IF(N315=1,1,0)</f>
        <v>1</v>
      </c>
      <c r="U315" s="283" t="n">
        <f aca="false">U314+T315</f>
        <v>80</v>
      </c>
      <c r="V315" s="283" t="n">
        <f aca="false">IF(T315=0,0,U315)</f>
        <v>80</v>
      </c>
    </row>
    <row r="316" customFormat="false" ht="26.85" hidden="false" customHeight="false" outlineLevel="0" collapsed="false">
      <c r="A316" s="311" t="str">
        <f aca="false">Questions!$A316</f>
        <v>AISC-02</v>
      </c>
      <c r="B316" s="311" t="str">
        <f aca="false">LEFT(A316,4)</f>
        <v>AISC</v>
      </c>
      <c r="C316" s="311" t="str">
        <f aca="false">VLOOKUP($A316,Questions!$A$3:$L$333,2,0)&amp;""</f>
        <v>Is user input data used to influence your solution's AI model?*</v>
      </c>
      <c r="D316" s="311" t="str">
        <f aca="false">VLOOKUP($A316,Questions!$A$3:$L$333,11,0)&amp;""</f>
        <v/>
      </c>
      <c r="E316" s="311" t="str">
        <f aca="false">VLOOKUP($A316,Questions!$A$3:$L$333,12,0)&amp;""</f>
        <v>AI</v>
      </c>
      <c r="F316" s="311" t="str">
        <f aca="false">VLOOKUP($A316,'Institution Evaluation'!$A$56:$K$346,3,0)&amp;""</f>
        <v/>
      </c>
      <c r="G316" s="311" t="str">
        <f aca="false">VLOOKUP($A316,'Institution Evaluation'!$A$56:$K$346,7,0)&amp;""</f>
        <v>No</v>
      </c>
      <c r="H316" s="311" t="str">
        <f aca="false">VLOOKUP($A316,'Institution Evaluation'!$A$56:$K$346,8,0)&amp;""</f>
        <v/>
      </c>
      <c r="I316" s="311" t="str">
        <f aca="false">VLOOKUP($A316,'Institution Evaluation'!$A$56:$K$346,9,0)&amp;""</f>
        <v>Critical Importance</v>
      </c>
      <c r="J316" s="311" t="str">
        <f aca="false">VLOOKUP($A316,'Institution Evaluation'!$A$56:$K$346,10,0)&amp;""</f>
        <v/>
      </c>
      <c r="K316" s="311" t="n">
        <f aca="false">IF($I316="Critical Importance",20,IF($I316="Minor Importance",5,10))</f>
        <v>20</v>
      </c>
      <c r="L316" s="283" t="n">
        <f aca="false">IF($E316="Not Scored", "N/A",IF(AND($D316='Auto Responses'!$J$27,$H316=""),"N/A",IF(AND($D316='Auto Responses'!$J$27,$H316='Auto Responses'!$J$7),1,IF(AND($D316='Auto Responses'!$J$27,$H316='Auto Responses'!$J$8),0,IF(OR($F316=$G316,$H316='Auto Responses'!$J$7),1,0)))))</f>
        <v>0</v>
      </c>
      <c r="M316" s="311" t="str">
        <f aca="false">VLOOKUP($A316,'Institution Evaluation'!$A$56:$K$346,10,0)&amp;""</f>
        <v/>
      </c>
      <c r="N316" s="311" t="n">
        <f aca="false">IF($J316="Critical Importance",1,IF(AND($J316="",$I316="Critical Importance"),1,0))</f>
        <v>1</v>
      </c>
      <c r="O316" s="283" t="str">
        <f aca="false">IF(OR($F$20="No",$E316="Not Scored"),"N/A",IF($J316="",$K316,IF($J316="Minor Importance",5,IF($J316="Standard Importance",10,IF($J316="Critical Importance",20,0)))))</f>
        <v>N/A</v>
      </c>
      <c r="P316" s="283" t="str">
        <f aca="false">IF(OR($O316="N/A",$L316="N/A"),"N/A",$O316*$L316)</f>
        <v>N/A</v>
      </c>
      <c r="Q316" s="283" t="n">
        <f aca="false">IF(M316="TRUE",1,0)</f>
        <v>0</v>
      </c>
      <c r="R316" s="283" t="n">
        <f aca="false">R315+Q316</f>
        <v>0</v>
      </c>
      <c r="S316" s="283" t="n">
        <f aca="false">IF(Q316=0,0,R316)</f>
        <v>0</v>
      </c>
      <c r="T316" s="283" t="n">
        <f aca="false">IF(N316=1,1,0)</f>
        <v>1</v>
      </c>
      <c r="U316" s="283" t="n">
        <f aca="false">U315+T316</f>
        <v>81</v>
      </c>
      <c r="V316" s="283" t="n">
        <f aca="false">IF(T316=0,0,U316)</f>
        <v>81</v>
      </c>
    </row>
    <row r="317" customFormat="false" ht="39.55" hidden="false" customHeight="false" outlineLevel="0" collapsed="false">
      <c r="A317" s="311" t="str">
        <f aca="false">Questions!$A317</f>
        <v>AISC-03</v>
      </c>
      <c r="B317" s="311" t="str">
        <f aca="false">LEFT(A317,4)</f>
        <v>AISC</v>
      </c>
      <c r="C317" s="311" t="str">
        <f aca="false">VLOOKUP($A317,Questions!$A$3:$L$333,2,0)&amp;""</f>
        <v>Do you provide logging for your solution's AI feature(s) that includes user, date, and action taken?*</v>
      </c>
      <c r="D317" s="311" t="str">
        <f aca="false">VLOOKUP($A317,Questions!$A$3:$L$333,11,0)&amp;""</f>
        <v/>
      </c>
      <c r="E317" s="311" t="str">
        <f aca="false">VLOOKUP($A317,Questions!$A$3:$L$333,12,0)&amp;""</f>
        <v>AI</v>
      </c>
      <c r="F317" s="311" t="str">
        <f aca="false">VLOOKUP($A317,'Institution Evaluation'!$A$56:$K$346,3,0)&amp;""</f>
        <v/>
      </c>
      <c r="G317" s="311" t="str">
        <f aca="false">VLOOKUP($A317,'Institution Evaluation'!$A$56:$K$346,7,0)&amp;""</f>
        <v>Yes</v>
      </c>
      <c r="H317" s="311" t="str">
        <f aca="false">VLOOKUP($A317,'Institution Evaluation'!$A$56:$K$346,8,0)&amp;""</f>
        <v/>
      </c>
      <c r="I317" s="311" t="str">
        <f aca="false">VLOOKUP($A317,'Institution Evaluation'!$A$56:$K$346,9,0)&amp;""</f>
        <v>Critical Importance</v>
      </c>
      <c r="J317" s="311" t="str">
        <f aca="false">VLOOKUP($A317,'Institution Evaluation'!$A$56:$K$346,10,0)&amp;""</f>
        <v/>
      </c>
      <c r="K317" s="311" t="n">
        <f aca="false">IF($I317="Critical Importance",20,IF($I317="Minor Importance",5,10))</f>
        <v>20</v>
      </c>
      <c r="L317" s="283" t="n">
        <f aca="false">IF($E317="Not Scored", "N/A",IF(AND($D317='Auto Responses'!$J$27,$H317=""),"N/A",IF(AND($D317='Auto Responses'!$J$27,$H317='Auto Responses'!$J$7),1,IF(AND($D317='Auto Responses'!$J$27,$H317='Auto Responses'!$J$8),0,IF(OR($F317=$G317,$H317='Auto Responses'!$J$7),1,0)))))</f>
        <v>0</v>
      </c>
      <c r="M317" s="311" t="str">
        <f aca="false">VLOOKUP($A317,'Institution Evaluation'!$A$56:$K$346,10,0)&amp;""</f>
        <v/>
      </c>
      <c r="N317" s="311" t="n">
        <f aca="false">IF($J317="Critical Importance",1,IF(AND($J317="",$I317="Critical Importance"),1,0))</f>
        <v>1</v>
      </c>
      <c r="O317" s="283" t="str">
        <f aca="false">IF(OR($F$20="No",$E317="Not Scored"),"N/A",IF($J317="",$K317,IF($J317="Minor Importance",5,IF($J317="Standard Importance",10,IF($J317="Critical Importance",20,0)))))</f>
        <v>N/A</v>
      </c>
      <c r="P317" s="283" t="str">
        <f aca="false">IF(OR($O317="N/A",$L317="N/A"),"N/A",$O317*$L317)</f>
        <v>N/A</v>
      </c>
      <c r="Q317" s="283" t="n">
        <f aca="false">IF(M317="TRUE",1,0)</f>
        <v>0</v>
      </c>
      <c r="R317" s="283" t="n">
        <f aca="false">R316+Q317</f>
        <v>0</v>
      </c>
      <c r="S317" s="283" t="n">
        <f aca="false">IF(Q317=0,0,R317)</f>
        <v>0</v>
      </c>
      <c r="T317" s="283" t="n">
        <f aca="false">IF(N317=1,1,0)</f>
        <v>1</v>
      </c>
      <c r="U317" s="283" t="n">
        <f aca="false">U316+T317</f>
        <v>82</v>
      </c>
      <c r="V317" s="283" t="n">
        <f aca="false">IF(T317=0,0,U317)</f>
        <v>82</v>
      </c>
    </row>
    <row r="318" customFormat="false" ht="15" hidden="false" customHeight="false" outlineLevel="0" collapsed="false">
      <c r="A318" s="311" t="str">
        <f aca="false">Questions!$A318</f>
        <v>AISC-04</v>
      </c>
      <c r="B318" s="311" t="str">
        <f aca="false">LEFT(A318,4)</f>
        <v>AISC</v>
      </c>
      <c r="C318" s="311" t="str">
        <f aca="false">VLOOKUP($A318,Questions!$A$3:$L$333,2,0)&amp;""</f>
        <v>Please describe how you validate user inputs.</v>
      </c>
      <c r="D318" s="311" t="str">
        <f aca="false">VLOOKUP($A318,Questions!$A$3:$L$333,11,0)&amp;""</f>
        <v/>
      </c>
      <c r="E318" s="311" t="str">
        <f aca="false">VLOOKUP($A318,Questions!$A$3:$L$333,12,0)&amp;""</f>
        <v>Not scored</v>
      </c>
      <c r="F318" s="311" t="str">
        <f aca="false">VLOOKUP($A318,'Institution Evaluation'!$A$56:$K$346,3,0)&amp;""</f>
        <v/>
      </c>
      <c r="G318" s="311" t="str">
        <f aca="false">VLOOKUP($A318,'Institution Evaluation'!$A$56:$K$346,7,0)&amp;""</f>
        <v>Not scored</v>
      </c>
      <c r="H318" s="311" t="str">
        <f aca="false">VLOOKUP($A318,'Institution Evaluation'!$A$56:$K$346,8,0)&amp;""</f>
        <v/>
      </c>
      <c r="I318" s="311" t="str">
        <f aca="false">VLOOKUP($A318,'Institution Evaluation'!$A$56:$K$346,9,0)&amp;""</f>
        <v/>
      </c>
      <c r="J318" s="311" t="str">
        <f aca="false">VLOOKUP($A318,'Institution Evaluation'!$A$56:$K$346,10,0)&amp;""</f>
        <v/>
      </c>
      <c r="K318" s="311" t="n">
        <f aca="false">IF($I318="Critical Importance",20,IF($I318="Minor Importance",5,10))</f>
        <v>10</v>
      </c>
      <c r="L318" s="283" t="str">
        <f aca="false">IF($E318="Not Scored", "N/A",IF(AND($D318='Auto Responses'!$J$27,$H318=""),"N/A",IF(AND($D318='Auto Responses'!$J$27,$H318='Auto Responses'!$J$7),1,IF(AND($D318='Auto Responses'!$J$27,$H318='Auto Responses'!$J$8),0,IF(OR($F318=$G318,$H318='Auto Responses'!$J$7),1,0)))))</f>
        <v>N/A</v>
      </c>
      <c r="M318" s="311" t="str">
        <f aca="false">VLOOKUP($A318,'Institution Evaluation'!$A$56:$K$346,10,0)&amp;""</f>
        <v/>
      </c>
      <c r="N318" s="311" t="n">
        <f aca="false">IF($J318="Critical Importance",1,IF(AND($J318="",$I318="Critical Importance"),1,0))</f>
        <v>0</v>
      </c>
      <c r="O318" s="283" t="str">
        <f aca="false">IF(OR($F$20="No",$E318="Not Scored"),"N/A",IF($J318="",$K318,IF($J318="Minor Importance",5,IF($J318="Standard Importance",10,IF($J318="Critical Importance",20,0)))))</f>
        <v>N/A</v>
      </c>
      <c r="P318" s="283" t="str">
        <f aca="false">IF(OR($O318="N/A",$L318="N/A"),"N/A",$O318*$L318)</f>
        <v>N/A</v>
      </c>
      <c r="Q318" s="283" t="n">
        <f aca="false">IF(M318="TRUE",1,0)</f>
        <v>0</v>
      </c>
      <c r="R318" s="283" t="n">
        <f aca="false">R317+Q318</f>
        <v>0</v>
      </c>
      <c r="S318" s="283" t="n">
        <f aca="false">IF(Q318=0,0,R318)</f>
        <v>0</v>
      </c>
      <c r="T318" s="283" t="n">
        <f aca="false">IF(N318=1,1,0)</f>
        <v>0</v>
      </c>
      <c r="U318" s="283" t="n">
        <f aca="false">U317+T318</f>
        <v>82</v>
      </c>
      <c r="V318" s="283" t="n">
        <f aca="false">IF(T318=0,0,U318)</f>
        <v>0</v>
      </c>
    </row>
    <row r="319" customFormat="false" ht="26.85" hidden="false" customHeight="false" outlineLevel="0" collapsed="false">
      <c r="A319" s="311" t="str">
        <f aca="false">Questions!$A319</f>
        <v>AISC-05</v>
      </c>
      <c r="B319" s="311" t="str">
        <f aca="false">LEFT(A319,4)</f>
        <v>AISC</v>
      </c>
      <c r="C319" s="311" t="str">
        <f aca="false">VLOOKUP($A319,Questions!$A$3:$L$333,2,0)&amp;""</f>
        <v>Do you plan for and mitigate supply-chain risk related to your AI features?</v>
      </c>
      <c r="D319" s="311" t="str">
        <f aca="false">VLOOKUP($A319,Questions!$A$3:$L$333,11,0)&amp;""</f>
        <v/>
      </c>
      <c r="E319" s="311" t="str">
        <f aca="false">VLOOKUP($A319,Questions!$A$3:$L$333,12,0)&amp;""</f>
        <v>AI</v>
      </c>
      <c r="F319" s="311" t="str">
        <f aca="false">VLOOKUP($A319,'Institution Evaluation'!$A$56:$K$346,3,0)&amp;""</f>
        <v/>
      </c>
      <c r="G319" s="311" t="str">
        <f aca="false">VLOOKUP($A319,'Institution Evaluation'!$A$56:$K$346,7,0)&amp;""</f>
        <v>Yes</v>
      </c>
      <c r="H319" s="311" t="str">
        <f aca="false">VLOOKUP($A319,'Institution Evaluation'!$A$56:$K$346,8,0)&amp;""</f>
        <v/>
      </c>
      <c r="I319" s="311" t="str">
        <f aca="false">VLOOKUP($A319,'Institution Evaluation'!$A$56:$K$346,9,0)&amp;""</f>
        <v>Standard Importance</v>
      </c>
      <c r="J319" s="311" t="str">
        <f aca="false">VLOOKUP($A319,'Institution Evaluation'!$A$56:$K$346,10,0)&amp;""</f>
        <v/>
      </c>
      <c r="K319" s="311" t="n">
        <f aca="false">IF($I319="Critical Importance",20,IF($I319="Minor Importance",5,10))</f>
        <v>10</v>
      </c>
      <c r="L319" s="283" t="n">
        <f aca="false">IF($E319="Not Scored", "N/A",IF(AND($D319='Auto Responses'!$J$27,$H319=""),"N/A",IF(AND($D319='Auto Responses'!$J$27,$H319='Auto Responses'!$J$7),1,IF(AND($D319='Auto Responses'!$J$27,$H319='Auto Responses'!$J$8),0,IF(OR($F319=$G319,$H319='Auto Responses'!$J$7),1,0)))))</f>
        <v>0</v>
      </c>
      <c r="M319" s="311" t="str">
        <f aca="false">VLOOKUP($A319,'Institution Evaluation'!$A$56:$K$346,10,0)&amp;""</f>
        <v/>
      </c>
      <c r="N319" s="311" t="n">
        <f aca="false">IF($J319="Critical Importance",1,IF(AND($J319="",$I319="Critical Importance"),1,0))</f>
        <v>0</v>
      </c>
      <c r="O319" s="283" t="str">
        <f aca="false">IF(OR($F$20="No",$E319="Not Scored"),"N/A",IF($J319="",$K319,IF($J319="Minor Importance",5,IF($J319="Standard Importance",10,IF($J319="Critical Importance",20,0)))))</f>
        <v>N/A</v>
      </c>
      <c r="P319" s="283" t="str">
        <f aca="false">IF(OR($O319="N/A",$L319="N/A"),"N/A",$O319*$L319)</f>
        <v>N/A</v>
      </c>
      <c r="Q319" s="283" t="n">
        <f aca="false">IF(M319="TRUE",1,0)</f>
        <v>0</v>
      </c>
      <c r="R319" s="283" t="n">
        <f aca="false">R318+Q319</f>
        <v>0</v>
      </c>
      <c r="S319" s="283" t="n">
        <f aca="false">IF(Q319=0,0,R319)</f>
        <v>0</v>
      </c>
      <c r="T319" s="283" t="n">
        <f aca="false">IF(N319=1,1,0)</f>
        <v>0</v>
      </c>
      <c r="U319" s="283" t="n">
        <f aca="false">U318+T319</f>
        <v>82</v>
      </c>
      <c r="V319" s="283" t="n">
        <f aca="false">IF(T319=0,0,U319)</f>
        <v>0</v>
      </c>
    </row>
    <row r="320" customFormat="false" ht="26.85" hidden="false" customHeight="false" outlineLevel="0" collapsed="false">
      <c r="A320" s="311" t="str">
        <f aca="false">Questions!$A320</f>
        <v>AIML-01</v>
      </c>
      <c r="B320" s="311" t="str">
        <f aca="false">LEFT(A320,4)</f>
        <v>AIML</v>
      </c>
      <c r="C320" s="311" t="str">
        <f aca="false">VLOOKUP($A320,Questions!$A$3:$L$333,2,0)&amp;""</f>
        <v>Do you separate ML training data from your ML solution data?*</v>
      </c>
      <c r="D320" s="311" t="str">
        <f aca="false">VLOOKUP($A320,Questions!$A$3:$L$333,11,0)&amp;""</f>
        <v/>
      </c>
      <c r="E320" s="311" t="str">
        <f aca="false">VLOOKUP($A320,Questions!$A$3:$L$333,12,0)&amp;""</f>
        <v>AI</v>
      </c>
      <c r="F320" s="311" t="str">
        <f aca="false">VLOOKUP($A320,'Institution Evaluation'!$A$56:$K$346,3,0)&amp;""</f>
        <v/>
      </c>
      <c r="G320" s="311" t="str">
        <f aca="false">VLOOKUP($A320,'Institution Evaluation'!$A$56:$K$346,7,0)&amp;""</f>
        <v>Yes</v>
      </c>
      <c r="H320" s="311" t="str">
        <f aca="false">VLOOKUP($A320,'Institution Evaluation'!$A$56:$K$346,8,0)&amp;""</f>
        <v/>
      </c>
      <c r="I320" s="311" t="str">
        <f aca="false">VLOOKUP($A320,'Institution Evaluation'!$A$56:$K$346,9,0)&amp;""</f>
        <v>Critical Importance</v>
      </c>
      <c r="J320" s="311" t="str">
        <f aca="false">VLOOKUP($A320,'Institution Evaluation'!$A$56:$K$346,10,0)&amp;""</f>
        <v/>
      </c>
      <c r="K320" s="311" t="n">
        <f aca="false">IF($I320="Critical Importance",20,IF($I320="Minor Importance",5,10))</f>
        <v>20</v>
      </c>
      <c r="L320" s="283" t="n">
        <f aca="false">IF($E320="Not Scored", "N/A",IF(AND($D320='Auto Responses'!$J$27,$H320=""),"N/A",IF(AND($D320='Auto Responses'!$J$27,$H320='Auto Responses'!$J$7),1,IF(AND($D320='Auto Responses'!$J$27,$H320='Auto Responses'!$J$8),0,IF(OR($F320=$G320,$H320='Auto Responses'!$J$7),1,0)))))</f>
        <v>0</v>
      </c>
      <c r="M320" s="311" t="str">
        <f aca="false">VLOOKUP($A320,'Institution Evaluation'!$A$56:$K$346,10,0)&amp;""</f>
        <v/>
      </c>
      <c r="N320" s="311" t="n">
        <f aca="false">IF($J320="Critical Importance",1,IF(AND($J320="",$I320="Critical Importance"),1,0))</f>
        <v>1</v>
      </c>
      <c r="O320" s="283" t="str">
        <f aca="false">IF(OR($F$20="No",$F$303="No",$E320="Not Scored"),"N/A",IF($J320="",$K320,IF($J320="Minor Importance",5,IF($J320="Standard Importance",10,IF($J320="Critical Importance",20,0)))))</f>
        <v>N/A</v>
      </c>
      <c r="P320" s="283" t="str">
        <f aca="false">IF(OR($O320="N/A",$L320="N/A"),"N/A",$O320*$L320)</f>
        <v>N/A</v>
      </c>
      <c r="Q320" s="283" t="n">
        <f aca="false">IF(M320="TRUE",1,0)</f>
        <v>0</v>
      </c>
      <c r="R320" s="283" t="n">
        <f aca="false">R319+Q320</f>
        <v>0</v>
      </c>
      <c r="S320" s="283" t="n">
        <f aca="false">IF(Q320=0,0,R320)</f>
        <v>0</v>
      </c>
      <c r="T320" s="283" t="n">
        <f aca="false">IF(N320=1,1,0)</f>
        <v>1</v>
      </c>
      <c r="U320" s="283" t="n">
        <f aca="false">U319+T320</f>
        <v>83</v>
      </c>
      <c r="V320" s="283" t="n">
        <f aca="false">IF(T320=0,0,U320)</f>
        <v>83</v>
      </c>
    </row>
    <row r="321" customFormat="false" ht="26.85" hidden="false" customHeight="false" outlineLevel="0" collapsed="false">
      <c r="A321" s="311" t="str">
        <f aca="false">Questions!$A321</f>
        <v>AIML-02</v>
      </c>
      <c r="B321" s="311" t="str">
        <f aca="false">LEFT(A321,4)</f>
        <v>AIML</v>
      </c>
      <c r="C321" s="311" t="str">
        <f aca="false">VLOOKUP($A321,Questions!$A$3:$L$333,2,0)&amp;""</f>
        <v>Do you authenticate and verify your ML model's feedback?*</v>
      </c>
      <c r="D321" s="311" t="str">
        <f aca="false">VLOOKUP($A321,Questions!$A$3:$L$333,11,0)&amp;""</f>
        <v/>
      </c>
      <c r="E321" s="311" t="str">
        <f aca="false">VLOOKUP($A321,Questions!$A$3:$L$333,12,0)&amp;""</f>
        <v>AI</v>
      </c>
      <c r="F321" s="311" t="str">
        <f aca="false">VLOOKUP($A321,'Institution Evaluation'!$A$56:$K$346,3,0)&amp;""</f>
        <v/>
      </c>
      <c r="G321" s="311" t="str">
        <f aca="false">VLOOKUP($A321,'Institution Evaluation'!$A$56:$K$346,7,0)&amp;""</f>
        <v>Yes</v>
      </c>
      <c r="H321" s="311" t="str">
        <f aca="false">VLOOKUP($A321,'Institution Evaluation'!$A$56:$K$346,8,0)&amp;""</f>
        <v/>
      </c>
      <c r="I321" s="311" t="str">
        <f aca="false">VLOOKUP($A321,'Institution Evaluation'!$A$56:$K$346,9,0)&amp;""</f>
        <v>Critical Importance</v>
      </c>
      <c r="J321" s="311" t="str">
        <f aca="false">VLOOKUP($A321,'Institution Evaluation'!$A$56:$K$346,10,0)&amp;""</f>
        <v/>
      </c>
      <c r="K321" s="311" t="n">
        <f aca="false">IF($I321="Critical Importance",20,IF($I321="Minor Importance",5,10))</f>
        <v>20</v>
      </c>
      <c r="L321" s="283" t="n">
        <f aca="false">IF($E321="Not Scored", "N/A",IF(AND($D321='Auto Responses'!$J$27,$H321=""),"N/A",IF(AND($D321='Auto Responses'!$J$27,$H321='Auto Responses'!$J$7),1,IF(AND($D321='Auto Responses'!$J$27,$H321='Auto Responses'!$J$8),0,IF(OR($F321=$G321,$H321='Auto Responses'!$J$7),1,0)))))</f>
        <v>0</v>
      </c>
      <c r="M321" s="311" t="str">
        <f aca="false">VLOOKUP($A321,'Institution Evaluation'!$A$56:$K$346,10,0)&amp;""</f>
        <v/>
      </c>
      <c r="N321" s="311" t="n">
        <f aca="false">IF($J321="Critical Importance",1,IF(AND($J321="",$I321="Critical Importance"),1,0))</f>
        <v>1</v>
      </c>
      <c r="O321" s="283" t="str">
        <f aca="false">IF(OR($F$20="No",$F$303="No",$E321="Not Scored"),"N/A",IF($J321="",$K321,IF($J321="Minor Importance",5,IF($J321="Standard Importance",10,IF($J321="Critical Importance",20,0)))))</f>
        <v>N/A</v>
      </c>
      <c r="P321" s="283" t="str">
        <f aca="false">IF(OR($O321="N/A",$L321="N/A"),"N/A",$O321*$L321)</f>
        <v>N/A</v>
      </c>
      <c r="Q321" s="283" t="n">
        <f aca="false">IF(M321="TRUE",1,0)</f>
        <v>0</v>
      </c>
      <c r="R321" s="283" t="n">
        <f aca="false">R320+Q321</f>
        <v>0</v>
      </c>
      <c r="S321" s="283" t="n">
        <f aca="false">IF(Q321=0,0,R321)</f>
        <v>0</v>
      </c>
      <c r="T321" s="283" t="n">
        <f aca="false">IF(N321=1,1,0)</f>
        <v>1</v>
      </c>
      <c r="U321" s="283" t="n">
        <f aca="false">U320+T321</f>
        <v>84</v>
      </c>
      <c r="V321" s="283" t="n">
        <f aca="false">IF(T321=0,0,U321)</f>
        <v>84</v>
      </c>
    </row>
    <row r="322" customFormat="false" ht="26.85" hidden="false" customHeight="false" outlineLevel="0" collapsed="false">
      <c r="A322" s="311" t="str">
        <f aca="false">Questions!$A322</f>
        <v>AIML-03</v>
      </c>
      <c r="B322" s="311" t="str">
        <f aca="false">LEFT(A322,4)</f>
        <v>AIML</v>
      </c>
      <c r="C322" s="311" t="str">
        <f aca="false">VLOOKUP($A322,Questions!$A$3:$L$333,2,0)&amp;""</f>
        <v>Is your ML training data vetted, validated, and verified before training the solution's AI model?</v>
      </c>
      <c r="D322" s="311" t="str">
        <f aca="false">VLOOKUP($A322,Questions!$A$3:$L$333,11,0)&amp;""</f>
        <v/>
      </c>
      <c r="E322" s="311" t="str">
        <f aca="false">VLOOKUP($A322,Questions!$A$3:$L$333,12,0)&amp;""</f>
        <v>AI</v>
      </c>
      <c r="F322" s="311" t="str">
        <f aca="false">VLOOKUP($A322,'Institution Evaluation'!$A$56:$K$346,3,0)&amp;""</f>
        <v/>
      </c>
      <c r="G322" s="311" t="str">
        <f aca="false">VLOOKUP($A322,'Institution Evaluation'!$A$56:$K$346,7,0)&amp;""</f>
        <v>Yes</v>
      </c>
      <c r="H322" s="311" t="str">
        <f aca="false">VLOOKUP($A322,'Institution Evaluation'!$A$56:$K$346,8,0)&amp;""</f>
        <v/>
      </c>
      <c r="I322" s="311" t="str">
        <f aca="false">VLOOKUP($A322,'Institution Evaluation'!$A$56:$K$346,9,0)&amp;""</f>
        <v>Standard Importance</v>
      </c>
      <c r="J322" s="311" t="str">
        <f aca="false">VLOOKUP($A322,'Institution Evaluation'!$A$56:$K$346,10,0)&amp;""</f>
        <v/>
      </c>
      <c r="K322" s="311" t="n">
        <f aca="false">IF($I322="Critical Importance",20,IF($I322="Minor Importance",5,10))</f>
        <v>10</v>
      </c>
      <c r="L322" s="283" t="n">
        <f aca="false">IF($E322="Not Scored", "N/A",IF(AND($D322='Auto Responses'!$J$27,$H322=""),"N/A",IF(AND($D322='Auto Responses'!$J$27,$H322='Auto Responses'!$J$7),1,IF(AND($D322='Auto Responses'!$J$27,$H322='Auto Responses'!$J$8),0,IF(OR($F322=$G322,$H322='Auto Responses'!$J$7),1,0)))))</f>
        <v>0</v>
      </c>
      <c r="M322" s="311" t="str">
        <f aca="false">VLOOKUP($A322,'Institution Evaluation'!$A$56:$K$346,10,0)&amp;""</f>
        <v/>
      </c>
      <c r="N322" s="311" t="n">
        <f aca="false">IF($J322="Critical Importance",1,IF(AND($J322="",$I322="Critical Importance"),1,0))</f>
        <v>0</v>
      </c>
      <c r="O322" s="283" t="str">
        <f aca="false">IF(OR($F$20="No",$F$303="No",$E322="Not Scored"),"N/A",IF($J322="",$K322,IF($J322="Minor Importance",5,IF($J322="Standard Importance",10,IF($J322="Critical Importance",20,0)))))</f>
        <v>N/A</v>
      </c>
      <c r="P322" s="283" t="str">
        <f aca="false">IF(OR($O322="N/A",$L322="N/A"),"N/A",$O322*$L322)</f>
        <v>N/A</v>
      </c>
      <c r="Q322" s="283" t="n">
        <f aca="false">IF(M322="TRUE",1,0)</f>
        <v>0</v>
      </c>
      <c r="R322" s="283" t="n">
        <f aca="false">R321+Q322</f>
        <v>0</v>
      </c>
      <c r="S322" s="283" t="n">
        <f aca="false">IF(Q322=0,0,R322)</f>
        <v>0</v>
      </c>
      <c r="T322" s="283" t="n">
        <f aca="false">IF(N322=1,1,0)</f>
        <v>0</v>
      </c>
      <c r="U322" s="283" t="n">
        <f aca="false">U321+T322</f>
        <v>84</v>
      </c>
      <c r="V322" s="283" t="n">
        <f aca="false">IF(T322=0,0,U322)</f>
        <v>0</v>
      </c>
    </row>
    <row r="323" customFormat="false" ht="26.85" hidden="false" customHeight="false" outlineLevel="0" collapsed="false">
      <c r="A323" s="311" t="str">
        <f aca="false">Questions!$A323</f>
        <v>AIML-04</v>
      </c>
      <c r="B323" s="311" t="str">
        <f aca="false">LEFT(A323,4)</f>
        <v>AIML</v>
      </c>
      <c r="C323" s="311" t="str">
        <f aca="false">VLOOKUP($A323,Questions!$A$3:$L$333,2,0)&amp;""</f>
        <v>Is your ML training data monitored and audited?</v>
      </c>
      <c r="D323" s="311" t="str">
        <f aca="false">VLOOKUP($A323,Questions!$A$3:$L$333,11,0)&amp;""</f>
        <v/>
      </c>
      <c r="E323" s="311" t="str">
        <f aca="false">VLOOKUP($A323,Questions!$A$3:$L$333,12,0)&amp;""</f>
        <v>AI</v>
      </c>
      <c r="F323" s="311" t="str">
        <f aca="false">VLOOKUP($A323,'Institution Evaluation'!$A$56:$K$346,3,0)&amp;""</f>
        <v/>
      </c>
      <c r="G323" s="311" t="str">
        <f aca="false">VLOOKUP($A323,'Institution Evaluation'!$A$56:$K$346,7,0)&amp;""</f>
        <v>Yes</v>
      </c>
      <c r="H323" s="311" t="str">
        <f aca="false">VLOOKUP($A323,'Institution Evaluation'!$A$56:$K$346,8,0)&amp;""</f>
        <v/>
      </c>
      <c r="I323" s="311" t="str">
        <f aca="false">VLOOKUP($A323,'Institution Evaluation'!$A$56:$K$346,9,0)&amp;""</f>
        <v>Standard Importance</v>
      </c>
      <c r="J323" s="311" t="str">
        <f aca="false">VLOOKUP($A323,'Institution Evaluation'!$A$56:$K$346,10,0)&amp;""</f>
        <v/>
      </c>
      <c r="K323" s="311" t="n">
        <f aca="false">IF($I323="Critical Importance",20,IF($I323="Minor Importance",5,10))</f>
        <v>10</v>
      </c>
      <c r="L323" s="283" t="n">
        <f aca="false">IF($E323="Not Scored", "N/A",IF(AND($D323='Auto Responses'!$J$27,$H323=""),"N/A",IF(AND($D323='Auto Responses'!$J$27,$H323='Auto Responses'!$J$7),1,IF(AND($D323='Auto Responses'!$J$27,$H323='Auto Responses'!$J$8),0,IF(OR($F323=$G323,$H323='Auto Responses'!$J$7),1,0)))))</f>
        <v>0</v>
      </c>
      <c r="M323" s="311" t="str">
        <f aca="false">VLOOKUP($A323,'Institution Evaluation'!$A$56:$K$346,10,0)&amp;""</f>
        <v/>
      </c>
      <c r="N323" s="311" t="n">
        <f aca="false">IF($J323="Critical Importance",1,IF(AND($J323="",$I323="Critical Importance"),1,0))</f>
        <v>0</v>
      </c>
      <c r="O323" s="283" t="str">
        <f aca="false">IF(OR($F$20="No",$F$303="No",$E323="Not Scored"),"N/A",IF($J323="",$K323,IF($J323="Minor Importance",5,IF($J323="Standard Importance",10,IF($J323="Critical Importance",20,0)))))</f>
        <v>N/A</v>
      </c>
      <c r="P323" s="283" t="str">
        <f aca="false">IF(OR($O323="N/A",$L323="N/A"),"N/A",$O323*$L323)</f>
        <v>N/A</v>
      </c>
      <c r="Q323" s="283" t="n">
        <f aca="false">IF(M323="TRUE",1,0)</f>
        <v>0</v>
      </c>
      <c r="R323" s="283" t="n">
        <f aca="false">R322+Q323</f>
        <v>0</v>
      </c>
      <c r="S323" s="283" t="n">
        <f aca="false">IF(Q323=0,0,R323)</f>
        <v>0</v>
      </c>
      <c r="T323" s="283" t="n">
        <f aca="false">IF(N323=1,1,0)</f>
        <v>0</v>
      </c>
      <c r="U323" s="283" t="n">
        <f aca="false">U322+T323</f>
        <v>84</v>
      </c>
      <c r="V323" s="283" t="n">
        <f aca="false">IF(T323=0,0,U323)</f>
        <v>0</v>
      </c>
    </row>
    <row r="324" customFormat="false" ht="39.55" hidden="false" customHeight="false" outlineLevel="0" collapsed="false">
      <c r="A324" s="311" t="str">
        <f aca="false">Questions!$A324</f>
        <v>AIML-05</v>
      </c>
      <c r="B324" s="311" t="str">
        <f aca="false">LEFT(A324,4)</f>
        <v>AIML</v>
      </c>
      <c r="C324" s="311" t="str">
        <f aca="false">VLOOKUP($A324,Questions!$A$3:$L$333,2,0)&amp;""</f>
        <v>Have you limited access to your ML training data to only staff with an explicit business need?</v>
      </c>
      <c r="D324" s="311" t="str">
        <f aca="false">VLOOKUP($A324,Questions!$A$3:$L$333,11,0)&amp;""</f>
        <v/>
      </c>
      <c r="E324" s="311" t="str">
        <f aca="false">VLOOKUP($A324,Questions!$A$3:$L$333,12,0)&amp;""</f>
        <v>AI</v>
      </c>
      <c r="F324" s="311" t="str">
        <f aca="false">VLOOKUP($A324,'Institution Evaluation'!$A$56:$K$346,3,0)&amp;""</f>
        <v/>
      </c>
      <c r="G324" s="311" t="str">
        <f aca="false">VLOOKUP($A324,'Institution Evaluation'!$A$56:$K$346,7,0)&amp;""</f>
        <v>Yes</v>
      </c>
      <c r="H324" s="311" t="str">
        <f aca="false">VLOOKUP($A324,'Institution Evaluation'!$A$56:$K$346,8,0)&amp;""</f>
        <v/>
      </c>
      <c r="I324" s="311" t="str">
        <f aca="false">VLOOKUP($A324,'Institution Evaluation'!$A$56:$K$346,9,0)&amp;""</f>
        <v>Minor Importance</v>
      </c>
      <c r="J324" s="311" t="str">
        <f aca="false">VLOOKUP($A324,'Institution Evaluation'!$A$56:$K$346,10,0)&amp;""</f>
        <v/>
      </c>
      <c r="K324" s="311" t="n">
        <f aca="false">IF($I324="Critical Importance",20,IF($I324="Minor Importance",5,10))</f>
        <v>5</v>
      </c>
      <c r="L324" s="283" t="n">
        <f aca="false">IF($E324="Not Scored", "N/A",IF(AND($D324='Auto Responses'!$J$27,$H324=""),"N/A",IF(AND($D324='Auto Responses'!$J$27,$H324='Auto Responses'!$J$7),1,IF(AND($D324='Auto Responses'!$J$27,$H324='Auto Responses'!$J$8),0,IF(OR($F324=$G324,$H324='Auto Responses'!$J$7),1,0)))))</f>
        <v>0</v>
      </c>
      <c r="M324" s="311" t="str">
        <f aca="false">VLOOKUP($A324,'Institution Evaluation'!$A$56:$K$346,10,0)&amp;""</f>
        <v/>
      </c>
      <c r="N324" s="311" t="n">
        <f aca="false">IF($J324="Critical Importance",1,IF(AND($J324="",$I324="Critical Importance"),1,0))</f>
        <v>0</v>
      </c>
      <c r="O324" s="283" t="str">
        <f aca="false">IF(OR($F$20="No",$F$303="No",$E324="Not Scored"),"N/A",IF($J324="",$K324,IF($J324="Minor Importance",5,IF($J324="Standard Importance",10,IF($J324="Critical Importance",20,0)))))</f>
        <v>N/A</v>
      </c>
      <c r="P324" s="283" t="str">
        <f aca="false">IF(OR($O324="N/A",$L324="N/A"),"N/A",$O324*$L324)</f>
        <v>N/A</v>
      </c>
      <c r="Q324" s="283" t="n">
        <f aca="false">IF(M324="TRUE",1,0)</f>
        <v>0</v>
      </c>
      <c r="R324" s="283" t="n">
        <f aca="false">R323+Q324</f>
        <v>0</v>
      </c>
      <c r="S324" s="283" t="n">
        <f aca="false">IF(Q324=0,0,R324)</f>
        <v>0</v>
      </c>
      <c r="T324" s="283" t="n">
        <f aca="false">IF(N324=1,1,0)</f>
        <v>0</v>
      </c>
      <c r="U324" s="283" t="n">
        <f aca="false">U323+T324</f>
        <v>84</v>
      </c>
      <c r="V324" s="283" t="n">
        <f aca="false">IF(T324=0,0,U324)</f>
        <v>0</v>
      </c>
    </row>
    <row r="325" customFormat="false" ht="39.55" hidden="false" customHeight="false" outlineLevel="0" collapsed="false">
      <c r="A325" s="311" t="str">
        <f aca="false">Questions!$A325</f>
        <v>AIML-06</v>
      </c>
      <c r="B325" s="311" t="str">
        <f aca="false">LEFT(A325,4)</f>
        <v>AIML</v>
      </c>
      <c r="C325" s="311" t="str">
        <f aca="false">VLOOKUP($A325,Questions!$A$3:$L$333,2,0)&amp;""</f>
        <v>Have you implemented adversarial training or other model defense mechanisms to protect your ML-related features?</v>
      </c>
      <c r="D325" s="311" t="str">
        <f aca="false">VLOOKUP($A325,Questions!$A$3:$L$333,11,0)&amp;""</f>
        <v/>
      </c>
      <c r="E325" s="311" t="str">
        <f aca="false">VLOOKUP($A325,Questions!$A$3:$L$333,12,0)&amp;""</f>
        <v>AI</v>
      </c>
      <c r="F325" s="311" t="str">
        <f aca="false">VLOOKUP($A325,'Institution Evaluation'!$A$56:$K$346,3,0)&amp;""</f>
        <v/>
      </c>
      <c r="G325" s="311" t="str">
        <f aca="false">VLOOKUP($A325,'Institution Evaluation'!$A$56:$K$346,7,0)&amp;""</f>
        <v>Yes</v>
      </c>
      <c r="H325" s="311" t="str">
        <f aca="false">VLOOKUP($A325,'Institution Evaluation'!$A$56:$K$346,8,0)&amp;""</f>
        <v/>
      </c>
      <c r="I325" s="311" t="str">
        <f aca="false">VLOOKUP($A325,'Institution Evaluation'!$A$56:$K$346,9,0)&amp;""</f>
        <v>Minor Importance</v>
      </c>
      <c r="J325" s="311" t="str">
        <f aca="false">VLOOKUP($A325,'Institution Evaluation'!$A$56:$K$346,10,0)&amp;""</f>
        <v/>
      </c>
      <c r="K325" s="311" t="n">
        <f aca="false">IF($I325="Critical Importance",20,IF($I325="Minor Importance",5,10))</f>
        <v>5</v>
      </c>
      <c r="L325" s="283" t="n">
        <f aca="false">IF($E325="Not Scored", "N/A",IF(AND($D325='Auto Responses'!$J$27,$H325=""),"N/A",IF(AND($D325='Auto Responses'!$J$27,$H325='Auto Responses'!$J$7),1,IF(AND($D325='Auto Responses'!$J$27,$H325='Auto Responses'!$J$8),0,IF(OR($F325=$G325,$H325='Auto Responses'!$J$7),1,0)))))</f>
        <v>0</v>
      </c>
      <c r="M325" s="311" t="str">
        <f aca="false">VLOOKUP($A325,'Institution Evaluation'!$A$56:$K$346,10,0)&amp;""</f>
        <v/>
      </c>
      <c r="N325" s="311" t="n">
        <f aca="false">IF($J325="Critical Importance",1,IF(AND($J325="",$I325="Critical Importance"),1,0))</f>
        <v>0</v>
      </c>
      <c r="O325" s="283" t="str">
        <f aca="false">IF(OR($F$20="No",$F$303="No",$E325="Not Scored"),"N/A",IF($J325="",$K325,IF($J325="Minor Importance",5,IF($J325="Standard Importance",10,IF($J325="Critical Importance",20,0)))))</f>
        <v>N/A</v>
      </c>
      <c r="P325" s="283" t="str">
        <f aca="false">IF(OR($O325="N/A",$L325="N/A"),"N/A",$O325*$L325)</f>
        <v>N/A</v>
      </c>
      <c r="Q325" s="283" t="n">
        <f aca="false">IF(M325="TRUE",1,0)</f>
        <v>0</v>
      </c>
      <c r="R325" s="283" t="n">
        <f aca="false">R324+Q325</f>
        <v>0</v>
      </c>
      <c r="S325" s="283" t="n">
        <f aca="false">IF(Q325=0,0,R325)</f>
        <v>0</v>
      </c>
      <c r="T325" s="283" t="n">
        <f aca="false">IF(N325=1,1,0)</f>
        <v>0</v>
      </c>
      <c r="U325" s="283" t="n">
        <f aca="false">U324+T325</f>
        <v>84</v>
      </c>
      <c r="V325" s="283" t="n">
        <f aca="false">IF(T325=0,0,U325)</f>
        <v>0</v>
      </c>
    </row>
    <row r="326" customFormat="false" ht="39.55" hidden="false" customHeight="false" outlineLevel="0" collapsed="false">
      <c r="A326" s="311" t="str">
        <f aca="false">Questions!$A326</f>
        <v>AIML-07</v>
      </c>
      <c r="B326" s="311" t="str">
        <f aca="false">LEFT(A326,4)</f>
        <v>AIML</v>
      </c>
      <c r="C326" s="311" t="str">
        <f aca="false">VLOOKUP($A326,Questions!$A$3:$L$333,2,0)&amp;""</f>
        <v>Do you make your ML model transparent through documentation and log inputs and outputs?</v>
      </c>
      <c r="D326" s="311" t="str">
        <f aca="false">VLOOKUP($A326,Questions!$A$3:$L$333,11,0)&amp;""</f>
        <v/>
      </c>
      <c r="E326" s="311" t="str">
        <f aca="false">VLOOKUP($A326,Questions!$A$3:$L$333,12,0)&amp;""</f>
        <v>AI</v>
      </c>
      <c r="F326" s="311" t="str">
        <f aca="false">VLOOKUP($A326,'Institution Evaluation'!$A$56:$K$346,3,0)&amp;""</f>
        <v/>
      </c>
      <c r="G326" s="311" t="str">
        <f aca="false">VLOOKUP($A326,'Institution Evaluation'!$A$56:$K$346,7,0)&amp;""</f>
        <v>Yes</v>
      </c>
      <c r="H326" s="311" t="str">
        <f aca="false">VLOOKUP($A326,'Institution Evaluation'!$A$56:$K$346,8,0)&amp;""</f>
        <v/>
      </c>
      <c r="I326" s="311" t="str">
        <f aca="false">VLOOKUP($A326,'Institution Evaluation'!$A$56:$K$346,9,0)&amp;""</f>
        <v>Minor Importance</v>
      </c>
      <c r="J326" s="311" t="str">
        <f aca="false">VLOOKUP($A326,'Institution Evaluation'!$A$56:$K$346,10,0)&amp;""</f>
        <v/>
      </c>
      <c r="K326" s="311" t="n">
        <f aca="false">IF($I326="Critical Importance",20,IF($I326="Minor Importance",5,10))</f>
        <v>5</v>
      </c>
      <c r="L326" s="283" t="n">
        <f aca="false">IF($E326="Not Scored", "N/A",IF(AND($D326='Auto Responses'!$J$27,$H326=""),"N/A",IF(AND($D326='Auto Responses'!$J$27,$H326='Auto Responses'!$J$7),1,IF(AND($D326='Auto Responses'!$J$27,$H326='Auto Responses'!$J$8),0,IF(OR($F326=$G326,$H326='Auto Responses'!$J$7),1,0)))))</f>
        <v>0</v>
      </c>
      <c r="M326" s="311" t="str">
        <f aca="false">VLOOKUP($A326,'Institution Evaluation'!$A$56:$K$346,10,0)&amp;""</f>
        <v/>
      </c>
      <c r="N326" s="311" t="n">
        <f aca="false">IF($J326="Critical Importance",1,IF(AND($J326="",$I326="Critical Importance"),1,0))</f>
        <v>0</v>
      </c>
      <c r="O326" s="283" t="str">
        <f aca="false">IF(OR($F$20="No",$F$303="No",$E326="Not Scored"),"N/A",IF($J326="",$K326,IF($J326="Minor Importance",5,IF($J326="Standard Importance",10,IF($J326="Critical Importance",20,0)))))</f>
        <v>N/A</v>
      </c>
      <c r="P326" s="283" t="str">
        <f aca="false">IF(OR($O326="N/A",$L326="N/A"),"N/A",$O326*$L326)</f>
        <v>N/A</v>
      </c>
      <c r="Q326" s="283" t="n">
        <f aca="false">IF(M326="TRUE",1,0)</f>
        <v>0</v>
      </c>
      <c r="R326" s="283" t="n">
        <f aca="false">R325+Q326</f>
        <v>0</v>
      </c>
      <c r="S326" s="283" t="n">
        <f aca="false">IF(Q326=0,0,R326)</f>
        <v>0</v>
      </c>
      <c r="T326" s="283" t="n">
        <f aca="false">IF(N326=1,1,0)</f>
        <v>0</v>
      </c>
      <c r="U326" s="283" t="n">
        <f aca="false">U325+T326</f>
        <v>84</v>
      </c>
      <c r="V326" s="283" t="n">
        <f aca="false">IF(T326=0,0,U326)</f>
        <v>0</v>
      </c>
    </row>
    <row r="327" customFormat="false" ht="26.85" hidden="false" customHeight="false" outlineLevel="0" collapsed="false">
      <c r="A327" s="311" t="str">
        <f aca="false">Questions!$A327</f>
        <v>AIML-08</v>
      </c>
      <c r="B327" s="311" t="str">
        <f aca="false">LEFT(A327,4)</f>
        <v>AIML</v>
      </c>
      <c r="C327" s="311" t="str">
        <f aca="false">VLOOKUP($A327,Questions!$A$3:$L$333,2,0)&amp;""</f>
        <v>Do you watermark your ML training data?</v>
      </c>
      <c r="D327" s="311" t="str">
        <f aca="false">VLOOKUP($A327,Questions!$A$3:$L$333,11,0)&amp;""</f>
        <v/>
      </c>
      <c r="E327" s="311" t="str">
        <f aca="false">VLOOKUP($A327,Questions!$A$3:$L$333,12,0)&amp;""</f>
        <v>AI</v>
      </c>
      <c r="F327" s="311" t="str">
        <f aca="false">VLOOKUP($A327,'Institution Evaluation'!$A$56:$K$346,3,0)&amp;""</f>
        <v/>
      </c>
      <c r="G327" s="311" t="str">
        <f aca="false">VLOOKUP($A327,'Institution Evaluation'!$A$56:$K$346,7,0)&amp;""</f>
        <v>Yes</v>
      </c>
      <c r="H327" s="311" t="str">
        <f aca="false">VLOOKUP($A327,'Institution Evaluation'!$A$56:$K$346,8,0)&amp;""</f>
        <v/>
      </c>
      <c r="I327" s="311" t="str">
        <f aca="false">VLOOKUP($A327,'Institution Evaluation'!$A$56:$K$346,9,0)&amp;""</f>
        <v>Minor Importance</v>
      </c>
      <c r="J327" s="311" t="str">
        <f aca="false">VLOOKUP($A327,'Institution Evaluation'!$A$56:$K$346,10,0)&amp;""</f>
        <v/>
      </c>
      <c r="K327" s="311" t="n">
        <f aca="false">IF($I327="Critical Importance",20,IF($I327="Minor Importance",5,10))</f>
        <v>5</v>
      </c>
      <c r="L327" s="283" t="n">
        <f aca="false">IF($E327="Not Scored", "N/A",IF(AND($D327='Auto Responses'!$J$27,$H327=""),"N/A",IF(AND($D327='Auto Responses'!$J$27,$H327='Auto Responses'!$J$7),1,IF(AND($D327='Auto Responses'!$J$27,$H327='Auto Responses'!$J$8),0,IF(OR($F327=$G327,$H327='Auto Responses'!$J$7),1,0)))))</f>
        <v>0</v>
      </c>
      <c r="M327" s="311" t="str">
        <f aca="false">VLOOKUP($A327,'Institution Evaluation'!$A$56:$K$346,10,0)&amp;""</f>
        <v/>
      </c>
      <c r="N327" s="311" t="n">
        <f aca="false">IF($J327="Critical Importance",1,IF(AND($J327="",$I327="Critical Importance"),1,0))</f>
        <v>0</v>
      </c>
      <c r="O327" s="283" t="str">
        <f aca="false">IF(OR($F$20="No",$F$303="No",$E327="Not Scored"),"N/A",IF($J327="",$K327,IF($J327="Minor Importance",5,IF($J327="Standard Importance",10,IF($J327="Critical Importance",20,0)))))</f>
        <v>N/A</v>
      </c>
      <c r="P327" s="283" t="str">
        <f aca="false">IF(OR($O327="N/A",$L327="N/A"),"N/A",$O327*$L327)</f>
        <v>N/A</v>
      </c>
      <c r="Q327" s="283" t="n">
        <f aca="false">IF(M327="TRUE",1,0)</f>
        <v>0</v>
      </c>
      <c r="R327" s="283" t="n">
        <f aca="false">R326+Q327</f>
        <v>0</v>
      </c>
      <c r="S327" s="283" t="n">
        <f aca="false">IF(Q327=0,0,R327)</f>
        <v>0</v>
      </c>
      <c r="T327" s="283" t="n">
        <f aca="false">IF(N327=1,1,0)</f>
        <v>0</v>
      </c>
      <c r="U327" s="283" t="n">
        <f aca="false">U326+T327</f>
        <v>84</v>
      </c>
      <c r="V327" s="283" t="n">
        <f aca="false">IF(T327=0,0,U327)</f>
        <v>0</v>
      </c>
    </row>
    <row r="328" customFormat="false" ht="26.85" hidden="false" customHeight="false" outlineLevel="0" collapsed="false">
      <c r="A328" s="311" t="str">
        <f aca="false">Questions!$A328</f>
        <v>AILM-01</v>
      </c>
      <c r="B328" s="311" t="str">
        <f aca="false">LEFT(A328,4)</f>
        <v>AILM</v>
      </c>
      <c r="C328" s="311" t="str">
        <f aca="false">VLOOKUP($A328,Questions!$A$3:$L$333,2,0)&amp;""</f>
        <v>Do you limit your solution's LLM privileges by default?*</v>
      </c>
      <c r="D328" s="311" t="str">
        <f aca="false">VLOOKUP($A328,Questions!$A$3:$L$333,11,0)&amp;""</f>
        <v/>
      </c>
      <c r="E328" s="311" t="str">
        <f aca="false">VLOOKUP($A328,Questions!$A$3:$L$333,12,0)&amp;""</f>
        <v>AI</v>
      </c>
      <c r="F328" s="311" t="str">
        <f aca="false">VLOOKUP($A328,'Institution Evaluation'!$A$56:$K$346,3,0)&amp;""</f>
        <v/>
      </c>
      <c r="G328" s="311" t="str">
        <f aca="false">VLOOKUP($A328,'Institution Evaluation'!$A$56:$K$346,7,0)&amp;""</f>
        <v>Yes</v>
      </c>
      <c r="H328" s="311" t="str">
        <f aca="false">VLOOKUP($A328,'Institution Evaluation'!$A$56:$K$346,8,0)&amp;""</f>
        <v/>
      </c>
      <c r="I328" s="311" t="str">
        <f aca="false">VLOOKUP($A328,'Institution Evaluation'!$A$56:$K$346,9,0)&amp;""</f>
        <v>Critical Importance</v>
      </c>
      <c r="J328" s="311" t="str">
        <f aca="false">VLOOKUP($A328,'Institution Evaluation'!$A$56:$K$346,10,0)&amp;""</f>
        <v/>
      </c>
      <c r="K328" s="311" t="n">
        <f aca="false">IF($I328="Critical Importance",20,IF($I328="Minor Importance",5,10))</f>
        <v>20</v>
      </c>
      <c r="L328" s="283" t="n">
        <f aca="false">IF($E328="Not Scored", "N/A",IF(AND($D328='Auto Responses'!$J$27,$H328=""),"N/A",IF(AND($D328='Auto Responses'!$J$27,$H328='Auto Responses'!$J$7),1,IF(AND($D328='Auto Responses'!$J$27,$H328='Auto Responses'!$J$8),0,IF(OR($F328=$G328,$H328='Auto Responses'!$J$7),1,0)))))</f>
        <v>0</v>
      </c>
      <c r="M328" s="311" t="str">
        <f aca="false">VLOOKUP($A328,'Institution Evaluation'!$A$56:$K$346,10,0)&amp;""</f>
        <v/>
      </c>
      <c r="N328" s="311" t="n">
        <f aca="false">IF($J328="Critical Importance",1,IF(AND($J328="",$I328="Critical Importance"),1,0))</f>
        <v>1</v>
      </c>
      <c r="O328" s="283" t="str">
        <f aca="false">IF(OR($F$20="No",$F$304="No",$E328="Not Scored"),"N/A",IF($J328="",$K328,IF($J328="Minor Importance",5,IF($J328="Standard Importance",10,IF($J328="Critical Importance",20,0)))))</f>
        <v>N/A</v>
      </c>
      <c r="P328" s="283" t="str">
        <f aca="false">IF(OR($O328="N/A",$L328="N/A"),"N/A",$O328*$L328)</f>
        <v>N/A</v>
      </c>
      <c r="Q328" s="283" t="n">
        <f aca="false">IF(M328="TRUE",1,0)</f>
        <v>0</v>
      </c>
      <c r="R328" s="283" t="n">
        <f aca="false">R327+Q328</f>
        <v>0</v>
      </c>
      <c r="S328" s="283" t="n">
        <f aca="false">IF(Q328=0,0,R328)</f>
        <v>0</v>
      </c>
      <c r="T328" s="283" t="n">
        <f aca="false">IF(N328=1,1,0)</f>
        <v>1</v>
      </c>
      <c r="U328" s="283" t="n">
        <f aca="false">U327+T328</f>
        <v>85</v>
      </c>
      <c r="V328" s="283" t="n">
        <f aca="false">IF(T328=0,0,U328)</f>
        <v>85</v>
      </c>
    </row>
    <row r="329" customFormat="false" ht="39.55" hidden="false" customHeight="false" outlineLevel="0" collapsed="false">
      <c r="A329" s="311" t="str">
        <f aca="false">Questions!$A329</f>
        <v>AILM-02</v>
      </c>
      <c r="B329" s="311" t="str">
        <f aca="false">LEFT(A329,4)</f>
        <v>AILM</v>
      </c>
      <c r="C329" s="311" t="str">
        <f aca="false">VLOOKUP($A329,Questions!$A$3:$L$333,2,0)&amp;""</f>
        <v>Is your LLM training data vetted, validated, and verified before training the solution's AI model?*</v>
      </c>
      <c r="D329" s="311" t="str">
        <f aca="false">VLOOKUP($A329,Questions!$A$3:$L$333,11,0)&amp;""</f>
        <v/>
      </c>
      <c r="E329" s="311" t="str">
        <f aca="false">VLOOKUP($A329,Questions!$A$3:$L$333,12,0)&amp;""</f>
        <v>AI</v>
      </c>
      <c r="F329" s="311" t="str">
        <f aca="false">VLOOKUP($A329,'Institution Evaluation'!$A$56:$K$346,3,0)&amp;""</f>
        <v/>
      </c>
      <c r="G329" s="311" t="str">
        <f aca="false">VLOOKUP($A329,'Institution Evaluation'!$A$56:$K$346,7,0)&amp;""</f>
        <v>Yes</v>
      </c>
      <c r="H329" s="311" t="str">
        <f aca="false">VLOOKUP($A329,'Institution Evaluation'!$A$56:$K$346,8,0)&amp;""</f>
        <v/>
      </c>
      <c r="I329" s="311" t="str">
        <f aca="false">VLOOKUP($A329,'Institution Evaluation'!$A$56:$K$346,9,0)&amp;""</f>
        <v>Critical Importance</v>
      </c>
      <c r="J329" s="311" t="str">
        <f aca="false">VLOOKUP($A329,'Institution Evaluation'!$A$56:$K$346,10,0)&amp;""</f>
        <v/>
      </c>
      <c r="K329" s="311" t="n">
        <f aca="false">IF($I329="Critical Importance",20,IF($I329="Minor Importance",5,10))</f>
        <v>20</v>
      </c>
      <c r="L329" s="283" t="n">
        <f aca="false">IF($E329="Not Scored", "N/A",IF(AND($D329='Auto Responses'!$J$27,$H329=""),"N/A",IF(AND($D329='Auto Responses'!$J$27,$H329='Auto Responses'!$J$7),1,IF(AND($D329='Auto Responses'!$J$27,$H329='Auto Responses'!$J$8),0,IF(OR($F329=$G329,$H329='Auto Responses'!$J$7),1,0)))))</f>
        <v>0</v>
      </c>
      <c r="M329" s="311" t="str">
        <f aca="false">VLOOKUP($A329,'Institution Evaluation'!$A$56:$K$346,10,0)&amp;""</f>
        <v/>
      </c>
      <c r="N329" s="311" t="n">
        <f aca="false">IF($J329="Critical Importance",1,IF(AND($J329="",$I329="Critical Importance"),1,0))</f>
        <v>1</v>
      </c>
      <c r="O329" s="283" t="str">
        <f aca="false">IF(OR($F$20="No",$F$304="No",$E329="Not Scored"),"N/A",IF($J329="",$K329,IF($J329="Minor Importance",5,IF($J329="Standard Importance",10,IF($J329="Critical Importance",20,0)))))</f>
        <v>N/A</v>
      </c>
      <c r="P329" s="283" t="str">
        <f aca="false">IF(OR($O329="N/A",$L329="N/A"),"N/A",$O329*$L329)</f>
        <v>N/A</v>
      </c>
      <c r="Q329" s="283" t="n">
        <f aca="false">IF(M329="TRUE",1,0)</f>
        <v>0</v>
      </c>
      <c r="R329" s="283" t="n">
        <f aca="false">R328+Q329</f>
        <v>0</v>
      </c>
      <c r="S329" s="283" t="n">
        <f aca="false">IF(Q329=0,0,R329)</f>
        <v>0</v>
      </c>
      <c r="T329" s="283" t="n">
        <f aca="false">IF(N329=1,1,0)</f>
        <v>1</v>
      </c>
      <c r="U329" s="283" t="n">
        <f aca="false">U328+T329</f>
        <v>86</v>
      </c>
      <c r="V329" s="283" t="n">
        <f aca="false">IF(T329=0,0,U329)</f>
        <v>86</v>
      </c>
    </row>
    <row r="330" customFormat="false" ht="39.55" hidden="false" customHeight="false" outlineLevel="0" collapsed="false">
      <c r="A330" s="311" t="str">
        <f aca="false">Questions!$A330</f>
        <v>AILM-03</v>
      </c>
      <c r="B330" s="311" t="str">
        <f aca="false">LEFT(A330,4)</f>
        <v>AILM</v>
      </c>
      <c r="C330" s="311" t="str">
        <f aca="false">VLOOKUP($A330,Questions!$A$3:$L$333,2,0)&amp;""</f>
        <v>Do any actions taken by your solution's LLM features or plugins require human intervention?*</v>
      </c>
      <c r="D330" s="311" t="str">
        <f aca="false">VLOOKUP($A330,Questions!$A$3:$L$333,11,0)&amp;""</f>
        <v/>
      </c>
      <c r="E330" s="311" t="str">
        <f aca="false">VLOOKUP($A330,Questions!$A$3:$L$333,12,0)&amp;""</f>
        <v>AI</v>
      </c>
      <c r="F330" s="311" t="str">
        <f aca="false">VLOOKUP($A330,'Institution Evaluation'!$A$56:$K$346,3,0)&amp;""</f>
        <v/>
      </c>
      <c r="G330" s="311" t="str">
        <f aca="false">VLOOKUP($A330,'Institution Evaluation'!$A$56:$K$346,7,0)&amp;""</f>
        <v>Yes</v>
      </c>
      <c r="H330" s="311" t="str">
        <f aca="false">VLOOKUP($A330,'Institution Evaluation'!$A$56:$K$346,8,0)&amp;""</f>
        <v/>
      </c>
      <c r="I330" s="311" t="str">
        <f aca="false">VLOOKUP($A330,'Institution Evaluation'!$A$56:$K$346,9,0)&amp;""</f>
        <v>Critical Importance</v>
      </c>
      <c r="J330" s="311" t="str">
        <f aca="false">VLOOKUP($A330,'Institution Evaluation'!$A$56:$K$346,10,0)&amp;""</f>
        <v/>
      </c>
      <c r="K330" s="311" t="n">
        <f aca="false">IF($I330="Critical Importance",20,IF($I330="Minor Importance",5,10))</f>
        <v>20</v>
      </c>
      <c r="L330" s="283" t="n">
        <f aca="false">IF($E330="Not Scored", "N/A",IF(AND($D330='Auto Responses'!$J$27,$H330=""),"N/A",IF(AND($D330='Auto Responses'!$J$27,$H330='Auto Responses'!$J$7),1,IF(AND($D330='Auto Responses'!$J$27,$H330='Auto Responses'!$J$8),0,IF(OR($F330=$G330,$H330='Auto Responses'!$J$7),1,0)))))</f>
        <v>0</v>
      </c>
      <c r="M330" s="311" t="str">
        <f aca="false">VLOOKUP($A330,'Institution Evaluation'!$A$56:$K$346,10,0)&amp;""</f>
        <v/>
      </c>
      <c r="N330" s="311" t="n">
        <f aca="false">IF($J330="Critical Importance",1,IF(AND($J330="",$I330="Critical Importance"),1,0))</f>
        <v>1</v>
      </c>
      <c r="O330" s="283" t="str">
        <f aca="false">IF(OR($F$20="No",$F$304="No",$E330="Not Scored"),"N/A",IF($J330="",$K330,IF($J330="Minor Importance",5,IF($J330="Standard Importance",10,IF($J330="Critical Importance",20,0)))))</f>
        <v>N/A</v>
      </c>
      <c r="P330" s="283" t="str">
        <f aca="false">IF(OR($O330="N/A",$L330="N/A"),"N/A",$O330*$L330)</f>
        <v>N/A</v>
      </c>
      <c r="Q330" s="283" t="n">
        <f aca="false">IF(M330="TRUE",1,0)</f>
        <v>0</v>
      </c>
      <c r="R330" s="283" t="n">
        <f aca="false">R329+Q330</f>
        <v>0</v>
      </c>
      <c r="S330" s="283" t="n">
        <f aca="false">IF(Q330=0,0,R330)</f>
        <v>0</v>
      </c>
      <c r="T330" s="283" t="n">
        <f aca="false">IF(N330=1,1,0)</f>
        <v>1</v>
      </c>
      <c r="U330" s="283" t="n">
        <f aca="false">U329+T330</f>
        <v>87</v>
      </c>
      <c r="V330" s="283" t="n">
        <f aca="false">IF(T330=0,0,U330)</f>
        <v>87</v>
      </c>
    </row>
    <row r="331" customFormat="false" ht="26.85" hidden="false" customHeight="false" outlineLevel="0" collapsed="false">
      <c r="A331" s="311" t="str">
        <f aca="false">Questions!$A331</f>
        <v>AILM-04</v>
      </c>
      <c r="B331" s="311" t="str">
        <f aca="false">LEFT(A331,4)</f>
        <v>AILM</v>
      </c>
      <c r="C331" s="311" t="str">
        <f aca="false">VLOOKUP($A331,Questions!$A$3:$L$333,2,0)&amp;""</f>
        <v>Do you limit multiple LLM model plugins being called as part of a single input?*</v>
      </c>
      <c r="D331" s="311" t="str">
        <f aca="false">VLOOKUP($A331,Questions!$A$3:$L$333,11,0)&amp;""</f>
        <v/>
      </c>
      <c r="E331" s="311" t="str">
        <f aca="false">VLOOKUP($A331,Questions!$A$3:$L$333,12,0)&amp;""</f>
        <v>AI</v>
      </c>
      <c r="F331" s="311" t="str">
        <f aca="false">VLOOKUP($A331,'Institution Evaluation'!$A$56:$K$346,3,0)&amp;""</f>
        <v/>
      </c>
      <c r="G331" s="311" t="str">
        <f aca="false">VLOOKUP($A331,'Institution Evaluation'!$A$56:$K$346,7,0)&amp;""</f>
        <v>Yes</v>
      </c>
      <c r="H331" s="311" t="str">
        <f aca="false">VLOOKUP($A331,'Institution Evaluation'!$A$56:$K$346,8,0)&amp;""</f>
        <v/>
      </c>
      <c r="I331" s="311" t="str">
        <f aca="false">VLOOKUP($A331,'Institution Evaluation'!$A$56:$K$346,9,0)&amp;""</f>
        <v>Critical Importance</v>
      </c>
      <c r="J331" s="311" t="str">
        <f aca="false">VLOOKUP($A331,'Institution Evaluation'!$A$56:$K$346,10,0)&amp;""</f>
        <v/>
      </c>
      <c r="K331" s="311" t="n">
        <f aca="false">IF($I331="Critical Importance",20,IF($I331="Minor Importance",5,10))</f>
        <v>20</v>
      </c>
      <c r="L331" s="283" t="n">
        <f aca="false">IF($E331="Not Scored", "N/A",IF(AND($D331='Auto Responses'!$J$27,$H331=""),"N/A",IF(AND($D331='Auto Responses'!$J$27,$H331='Auto Responses'!$J$7),1,IF(AND($D331='Auto Responses'!$J$27,$H331='Auto Responses'!$J$8),0,IF(OR($F331=$G331,$H331='Auto Responses'!$J$7),1,0)))))</f>
        <v>0</v>
      </c>
      <c r="M331" s="311" t="str">
        <f aca="false">VLOOKUP($A331,'Institution Evaluation'!$A$56:$K$346,10,0)&amp;""</f>
        <v/>
      </c>
      <c r="N331" s="311" t="n">
        <f aca="false">IF($J331="Critical Importance",1,IF(AND($J331="",$I331="Critical Importance"),1,0))</f>
        <v>1</v>
      </c>
      <c r="O331" s="283" t="str">
        <f aca="false">IF(OR($F$20="No",$F$304="No",$E331="Not Scored"),"N/A",IF($J331="",$K331,IF($J331="Minor Importance",5,IF($J331="Standard Importance",10,IF($J331="Critical Importance",20,0)))))</f>
        <v>N/A</v>
      </c>
      <c r="P331" s="283" t="str">
        <f aca="false">IF(OR($O331="N/A",$L331="N/A"),"N/A",$O331*$L331)</f>
        <v>N/A</v>
      </c>
      <c r="Q331" s="283" t="n">
        <f aca="false">IF(M331="TRUE",1,0)</f>
        <v>0</v>
      </c>
      <c r="R331" s="283" t="n">
        <f aca="false">R330+Q331</f>
        <v>0</v>
      </c>
      <c r="S331" s="283" t="n">
        <f aca="false">IF(Q331=0,0,R331)</f>
        <v>0</v>
      </c>
      <c r="T331" s="283" t="n">
        <f aca="false">IF(N331=1,1,0)</f>
        <v>1</v>
      </c>
      <c r="U331" s="283" t="n">
        <f aca="false">U330+T331</f>
        <v>88</v>
      </c>
      <c r="V331" s="283" t="n">
        <f aca="false">IF(T331=0,0,U331)</f>
        <v>88</v>
      </c>
    </row>
    <row r="332" customFormat="false" ht="26.85" hidden="false" customHeight="false" outlineLevel="0" collapsed="false">
      <c r="A332" s="311" t="str">
        <f aca="false">Questions!$A332</f>
        <v>AILM-05</v>
      </c>
      <c r="B332" s="311" t="str">
        <f aca="false">LEFT(A332,4)</f>
        <v>AILM</v>
      </c>
      <c r="C332" s="311" t="str">
        <f aca="false">VLOOKUP($A332,Questions!$A$3:$L$333,2,0)&amp;""</f>
        <v>Do you limit your solution's LLM resource use per request, per step, and per action?</v>
      </c>
      <c r="D332" s="311" t="str">
        <f aca="false">VLOOKUP($A332,Questions!$A$3:$L$333,11,0)&amp;""</f>
        <v/>
      </c>
      <c r="E332" s="311" t="str">
        <f aca="false">VLOOKUP($A332,Questions!$A$3:$L$333,12,0)&amp;""</f>
        <v>AI</v>
      </c>
      <c r="F332" s="311" t="str">
        <f aca="false">VLOOKUP($A332,'Institution Evaluation'!$A$56:$K$346,3,0)&amp;""</f>
        <v/>
      </c>
      <c r="G332" s="311" t="str">
        <f aca="false">VLOOKUP($A332,'Institution Evaluation'!$A$56:$K$346,7,0)&amp;""</f>
        <v>Yes</v>
      </c>
      <c r="H332" s="311" t="str">
        <f aca="false">VLOOKUP($A332,'Institution Evaluation'!$A$56:$K$346,8,0)&amp;""</f>
        <v/>
      </c>
      <c r="I332" s="311" t="str">
        <f aca="false">VLOOKUP($A332,'Institution Evaluation'!$A$56:$K$346,9,0)&amp;""</f>
        <v>Standard Importance</v>
      </c>
      <c r="J332" s="311" t="str">
        <f aca="false">VLOOKUP($A332,'Institution Evaluation'!$A$56:$K$346,10,0)&amp;""</f>
        <v/>
      </c>
      <c r="K332" s="311" t="n">
        <f aca="false">IF($I332="Critical Importance",20,IF($I332="Minor Importance",5,10))</f>
        <v>10</v>
      </c>
      <c r="L332" s="283" t="n">
        <f aca="false">IF($E332="Not Scored", "N/A",IF(AND($D332='Auto Responses'!$J$27,$H332=""),"N/A",IF(AND($D332='Auto Responses'!$J$27,$H332='Auto Responses'!$J$7),1,IF(AND($D332='Auto Responses'!$J$27,$H332='Auto Responses'!$J$8),0,IF(OR($F332=$G332,$H332='Auto Responses'!$J$7),1,0)))))</f>
        <v>0</v>
      </c>
      <c r="M332" s="311" t="str">
        <f aca="false">VLOOKUP($A332,'Institution Evaluation'!$A$56:$K$346,10,0)&amp;""</f>
        <v/>
      </c>
      <c r="N332" s="311" t="n">
        <f aca="false">IF($J332="Critical Importance",1,IF(AND($J332="",$I332="Critical Importance"),1,0))</f>
        <v>0</v>
      </c>
      <c r="O332" s="283" t="str">
        <f aca="false">IF(OR($F$20="No",$F$304="No",$E332="Not Scored"),"N/A",IF($J332="",$K332,IF($J332="Minor Importance",5,IF($J332="Standard Importance",10,IF($J332="Critical Importance",20,0)))))</f>
        <v>N/A</v>
      </c>
      <c r="P332" s="283" t="str">
        <f aca="false">IF(OR($O332="N/A",$L332="N/A"),"N/A",$O332*$L332)</f>
        <v>N/A</v>
      </c>
      <c r="Q332" s="283" t="n">
        <f aca="false">IF(M332="TRUE",1,0)</f>
        <v>0</v>
      </c>
      <c r="R332" s="283" t="n">
        <f aca="false">R331+Q332</f>
        <v>0</v>
      </c>
      <c r="S332" s="283" t="n">
        <f aca="false">IF(Q332=0,0,R332)</f>
        <v>0</v>
      </c>
      <c r="T332" s="283" t="n">
        <f aca="false">IF(N332=1,1,0)</f>
        <v>0</v>
      </c>
      <c r="U332" s="283" t="n">
        <f aca="false">U331+T332</f>
        <v>88</v>
      </c>
      <c r="V332" s="283" t="n">
        <f aca="false">IF(T332=0,0,U332)</f>
        <v>0</v>
      </c>
    </row>
    <row r="333" customFormat="false" ht="36" hidden="false" customHeight="true" outlineLevel="0" collapsed="false">
      <c r="A333" s="311" t="str">
        <f aca="false">Questions!$A333</f>
        <v>AILM-06</v>
      </c>
      <c r="B333" s="311" t="str">
        <f aca="false">LEFT(A333,4)</f>
        <v>AILM</v>
      </c>
      <c r="C333" s="311" t="str">
        <f aca="false">VLOOKUP($A333,Questions!$A$3:$L$333,2,0)&amp;""</f>
        <v>Do you leverage LLM model tuning or other model validation mechanisms?</v>
      </c>
      <c r="D333" s="311" t="str">
        <f aca="false">VLOOKUP($A333,Questions!$A$3:$L$333,11,0)&amp;""</f>
        <v/>
      </c>
      <c r="E333" s="311" t="str">
        <f aca="false">VLOOKUP($A333,Questions!$A$3:$L$333,12,0)&amp;""</f>
        <v>AI</v>
      </c>
      <c r="F333" s="311" t="str">
        <f aca="false">VLOOKUP($A333,'Institution Evaluation'!$A$56:$K$346,3,0)&amp;""</f>
        <v/>
      </c>
      <c r="G333" s="311" t="str">
        <f aca="false">VLOOKUP($A333,'Institution Evaluation'!$A$56:$K$346,7,0)&amp;""</f>
        <v>Yes</v>
      </c>
      <c r="H333" s="311" t="str">
        <f aca="false">VLOOKUP($A333,'Institution Evaluation'!$A$56:$K$346,8,0)&amp;""</f>
        <v/>
      </c>
      <c r="I333" s="311" t="str">
        <f aca="false">VLOOKUP($A333,'Institution Evaluation'!$A$56:$K$346,9,0)&amp;""</f>
        <v>Standard Importance</v>
      </c>
      <c r="J333" s="311" t="str">
        <f aca="false">VLOOKUP($A333,'Institution Evaluation'!$A$56:$K$346,10,0)&amp;""</f>
        <v/>
      </c>
      <c r="K333" s="311" t="n">
        <f aca="false">IF($I333="Critical Importance",20,IF($I333="Minor Importance",5,10))</f>
        <v>10</v>
      </c>
      <c r="L333" s="283" t="n">
        <f aca="false">IF($E333="Not Scored", "N/A",IF(AND($D333='Auto Responses'!$J$27,$H333=""),"N/A",IF(AND($D333='Auto Responses'!$J$27,$H333='Auto Responses'!$J$7),1,IF(AND($D333='Auto Responses'!$J$27,$H333='Auto Responses'!$J$8),0,IF(OR($F333=$G333,$H333='Auto Responses'!$J$7),1,0)))))</f>
        <v>0</v>
      </c>
      <c r="M333" s="311" t="str">
        <f aca="false">VLOOKUP($A333,'Institution Evaluation'!$A$56:$K$346,10,0)&amp;""</f>
        <v/>
      </c>
      <c r="N333" s="311" t="n">
        <f aca="false">IF($J333="Critical Importance",1,IF(AND($J333="",$I333="Critical Importance"),1,0))</f>
        <v>0</v>
      </c>
      <c r="O333" s="283" t="str">
        <f aca="false">IF(OR($F$20="No",$F$304="No",$E333="Not Scored"),"N/A",IF($J333="",$K333,IF($J333="Minor Importance",5,IF($J333="Standard Importance",10,IF($J333="Critical Importance",20,0)))))</f>
        <v>N/A</v>
      </c>
      <c r="P333" s="283" t="str">
        <f aca="false">IF(OR($O333="N/A",$L333="N/A"),"N/A",$O333*$L333)</f>
        <v>N/A</v>
      </c>
      <c r="Q333" s="283" t="n">
        <f aca="false">IF(M333="TRUE",1,0)</f>
        <v>0</v>
      </c>
      <c r="R333" s="283" t="n">
        <f aca="false">R332+Q333</f>
        <v>0</v>
      </c>
      <c r="S333" s="283" t="n">
        <f aca="false">IF(Q333=0,0,R333)</f>
        <v>0</v>
      </c>
      <c r="T333" s="283" t="n">
        <f aca="false">IF(N333=1,1,0)</f>
        <v>0</v>
      </c>
      <c r="U333" s="283" t="n">
        <f aca="false">U332+T333</f>
        <v>88</v>
      </c>
      <c r="V333" s="283" t="n">
        <f aca="false">IF(T333=0,0,U333)</f>
        <v>0</v>
      </c>
      <c r="W333" s="91" t="s">
        <v>37</v>
      </c>
    </row>
    <row r="334" customFormat="false" ht="15" hidden="false" customHeight="false" outlineLevel="0" collapsed="false">
      <c r="A334" s="312"/>
      <c r="B334" s="312"/>
      <c r="C334" s="312"/>
      <c r="D334" s="312"/>
      <c r="E334" s="312"/>
      <c r="F334" s="312"/>
      <c r="G334" s="312"/>
      <c r="H334" s="312"/>
      <c r="I334" s="312"/>
      <c r="J334" s="312"/>
      <c r="K334" s="312"/>
    </row>
    <row r="335" customFormat="false" ht="15" hidden="false" customHeight="false" outlineLevel="0" collapsed="false">
      <c r="A335" s="312"/>
      <c r="B335" s="312"/>
      <c r="C335" s="312"/>
      <c r="D335" s="312"/>
      <c r="E335" s="312"/>
      <c r="F335" s="312"/>
      <c r="G335" s="312"/>
      <c r="H335" s="312"/>
      <c r="I335" s="312"/>
      <c r="J335" s="312"/>
      <c r="K335" s="312"/>
      <c r="Q335" s="313" t="n">
        <f aca="false">SUM($Q3:$Q334)</f>
        <v>0</v>
      </c>
      <c r="R335" s="314"/>
      <c r="S335" s="314"/>
      <c r="T335" s="315" t="n">
        <f aca="false">SUM($T3:$T334)</f>
        <v>88</v>
      </c>
    </row>
    <row r="336" customFormat="false" ht="15" hidden="false" customHeight="false" outlineLevel="0" collapsed="false">
      <c r="A336" s="91" t="s">
        <v>1829</v>
      </c>
      <c r="B336" s="312"/>
      <c r="C336" s="312"/>
      <c r="D336" s="312"/>
      <c r="E336" s="312"/>
      <c r="F336" s="312"/>
      <c r="G336" s="312"/>
      <c r="H336" s="312"/>
      <c r="I336" s="312"/>
      <c r="J336" s="312"/>
      <c r="K336" s="312"/>
    </row>
    <row r="337" customFormat="false" ht="15" hidden="true" customHeight="false" outlineLevel="0" collapsed="false">
      <c r="A337" s="312"/>
      <c r="B337" s="312"/>
      <c r="C337" s="312"/>
      <c r="D337" s="312"/>
      <c r="E337" s="312"/>
      <c r="F337" s="312"/>
      <c r="G337" s="312"/>
      <c r="H337" s="312"/>
      <c r="I337" s="312"/>
      <c r="J337" s="312"/>
      <c r="K337" s="312"/>
    </row>
    <row r="338" customFormat="false" ht="15" hidden="true" customHeight="false" outlineLevel="0" collapsed="false">
      <c r="A338" s="312"/>
      <c r="B338" s="312"/>
      <c r="C338" s="312"/>
      <c r="D338" s="312"/>
      <c r="E338" s="312"/>
      <c r="F338" s="312"/>
      <c r="G338" s="312"/>
      <c r="H338" s="312"/>
      <c r="I338" s="312"/>
      <c r="J338" s="312"/>
      <c r="K338" s="312"/>
    </row>
    <row r="339" customFormat="false" ht="15" hidden="true" customHeight="false" outlineLevel="0" collapsed="false">
      <c r="A339" s="312"/>
      <c r="B339" s="312"/>
      <c r="C339" s="312"/>
      <c r="D339" s="312"/>
      <c r="E339" s="312"/>
      <c r="F339" s="312"/>
      <c r="G339" s="312"/>
      <c r="H339" s="312"/>
      <c r="I339" s="312"/>
      <c r="J339" s="312"/>
      <c r="K339" s="312"/>
    </row>
    <row r="340" customFormat="false" ht="15" hidden="true" customHeight="false" outlineLevel="0" collapsed="false">
      <c r="A340" s="312"/>
      <c r="B340" s="312"/>
      <c r="C340" s="312"/>
      <c r="D340" s="312"/>
      <c r="E340" s="312"/>
      <c r="F340" s="312"/>
      <c r="G340" s="312"/>
      <c r="H340" s="312"/>
      <c r="I340" s="312"/>
      <c r="J340" s="312"/>
      <c r="K340" s="312"/>
    </row>
    <row r="341" customFormat="false" ht="15" hidden="true" customHeight="false" outlineLevel="0" collapsed="false">
      <c r="A341" s="312"/>
      <c r="B341" s="312"/>
      <c r="C341" s="312"/>
      <c r="D341" s="312"/>
      <c r="E341" s="312"/>
      <c r="F341" s="312"/>
      <c r="G341" s="312"/>
      <c r="H341" s="312"/>
      <c r="I341" s="312"/>
      <c r="J341" s="312"/>
      <c r="K341" s="312"/>
    </row>
    <row r="342" customFormat="false" ht="15" hidden="true" customHeight="false" outlineLevel="0" collapsed="false">
      <c r="A342" s="312"/>
      <c r="B342" s="312"/>
      <c r="C342" s="312"/>
      <c r="D342" s="312"/>
      <c r="E342" s="312"/>
      <c r="F342" s="312"/>
      <c r="G342" s="312"/>
      <c r="H342" s="312"/>
      <c r="I342" s="312"/>
      <c r="J342" s="312"/>
      <c r="K342" s="312"/>
    </row>
    <row r="343" customFormat="false" ht="15" hidden="true" customHeight="false" outlineLevel="0" collapsed="false">
      <c r="A343" s="312"/>
      <c r="B343" s="312"/>
      <c r="C343" s="312"/>
      <c r="D343" s="312"/>
      <c r="E343" s="312"/>
      <c r="F343" s="312"/>
      <c r="G343" s="312"/>
      <c r="H343" s="312"/>
      <c r="I343" s="312"/>
      <c r="J343" s="312"/>
      <c r="K343" s="312"/>
    </row>
    <row r="344" customFormat="false" ht="15" hidden="true" customHeight="false" outlineLevel="0" collapsed="false">
      <c r="A344" s="312"/>
      <c r="B344" s="312"/>
      <c r="C344" s="312"/>
      <c r="D344" s="312"/>
      <c r="E344" s="312"/>
      <c r="F344" s="312"/>
      <c r="G344" s="312"/>
      <c r="H344" s="312"/>
      <c r="I344" s="312"/>
      <c r="J344" s="312"/>
      <c r="K344" s="312"/>
    </row>
    <row r="345" customFormat="false" ht="15" hidden="true" customHeight="false" outlineLevel="0" collapsed="false">
      <c r="A345" s="312"/>
      <c r="B345" s="312"/>
      <c r="C345" s="312"/>
      <c r="D345" s="312"/>
      <c r="E345" s="312"/>
      <c r="F345" s="312"/>
      <c r="G345" s="312"/>
      <c r="H345" s="312"/>
      <c r="I345" s="312"/>
      <c r="J345" s="312"/>
      <c r="K345" s="312"/>
    </row>
    <row r="346" customFormat="false" ht="15" hidden="true" customHeight="false" outlineLevel="0" collapsed="false">
      <c r="A346" s="312"/>
      <c r="B346" s="312"/>
      <c r="C346" s="312"/>
      <c r="D346" s="312"/>
      <c r="E346" s="312"/>
      <c r="F346" s="312"/>
      <c r="G346" s="312"/>
      <c r="H346" s="312"/>
      <c r="I346" s="312"/>
      <c r="J346" s="312"/>
      <c r="K346" s="312"/>
    </row>
    <row r="347" customFormat="false" ht="15" hidden="true" customHeight="false" outlineLevel="0" collapsed="false">
      <c r="A347" s="312"/>
      <c r="B347" s="312"/>
      <c r="C347" s="312"/>
      <c r="D347" s="312"/>
      <c r="E347" s="312"/>
      <c r="F347" s="312"/>
      <c r="G347" s="312"/>
      <c r="H347" s="312"/>
      <c r="I347" s="312"/>
      <c r="J347" s="312"/>
      <c r="K347" s="312"/>
    </row>
    <row r="348" customFormat="false" ht="15" hidden="true" customHeight="false" outlineLevel="0" collapsed="false">
      <c r="A348" s="312"/>
      <c r="B348" s="312"/>
      <c r="C348" s="312"/>
      <c r="D348" s="312"/>
      <c r="E348" s="312"/>
      <c r="F348" s="312"/>
      <c r="G348" s="312"/>
      <c r="H348" s="312"/>
      <c r="I348" s="312"/>
      <c r="J348" s="312"/>
      <c r="K348" s="312"/>
    </row>
    <row r="349" customFormat="false" ht="15" hidden="true" customHeight="false" outlineLevel="0" collapsed="false">
      <c r="A349" s="312"/>
      <c r="B349" s="312"/>
      <c r="C349" s="312"/>
      <c r="D349" s="312"/>
      <c r="E349" s="312"/>
      <c r="F349" s="312"/>
      <c r="G349" s="312"/>
      <c r="H349" s="312"/>
      <c r="I349" s="312"/>
      <c r="J349" s="312"/>
      <c r="K349" s="312"/>
    </row>
    <row r="350" customFormat="false" ht="15" hidden="true" customHeight="false" outlineLevel="0" collapsed="false">
      <c r="A350" s="312"/>
      <c r="B350" s="312"/>
      <c r="C350" s="312"/>
      <c r="D350" s="312"/>
      <c r="E350" s="312"/>
      <c r="F350" s="312"/>
      <c r="G350" s="312"/>
      <c r="H350" s="312"/>
      <c r="I350" s="312"/>
      <c r="J350" s="312"/>
      <c r="K350" s="312"/>
    </row>
    <row r="351" customFormat="false" ht="15" hidden="true" customHeight="false" outlineLevel="0" collapsed="false">
      <c r="A351" s="312"/>
      <c r="B351" s="312"/>
      <c r="C351" s="312"/>
      <c r="D351" s="312"/>
      <c r="E351" s="312"/>
      <c r="F351" s="312"/>
      <c r="G351" s="312"/>
      <c r="H351" s="312"/>
      <c r="I351" s="312"/>
      <c r="J351" s="312"/>
      <c r="K351" s="312"/>
    </row>
    <row r="352" customFormat="false" ht="15" hidden="true" customHeight="false" outlineLevel="0" collapsed="false">
      <c r="A352" s="312"/>
      <c r="B352" s="312"/>
      <c r="C352" s="312"/>
      <c r="D352" s="312"/>
      <c r="E352" s="312"/>
      <c r="F352" s="312"/>
      <c r="G352" s="312"/>
      <c r="H352" s="312"/>
      <c r="I352" s="312"/>
      <c r="J352" s="312"/>
      <c r="K352" s="312"/>
    </row>
    <row r="353" customFormat="false" ht="15" hidden="true" customHeight="false" outlineLevel="0" collapsed="false">
      <c r="A353" s="312"/>
      <c r="B353" s="312"/>
      <c r="C353" s="312"/>
      <c r="D353" s="312"/>
      <c r="E353" s="312"/>
      <c r="F353" s="312"/>
      <c r="G353" s="312"/>
      <c r="H353" s="312"/>
      <c r="I353" s="312"/>
      <c r="J353" s="312"/>
      <c r="K353" s="312"/>
    </row>
    <row r="354" customFormat="false" ht="15" hidden="true" customHeight="false" outlineLevel="0" collapsed="false">
      <c r="A354" s="312"/>
      <c r="B354" s="312"/>
      <c r="C354" s="312"/>
      <c r="D354" s="312"/>
      <c r="E354" s="312"/>
      <c r="F354" s="312"/>
      <c r="G354" s="312"/>
      <c r="H354" s="312"/>
      <c r="I354" s="312"/>
      <c r="J354" s="312"/>
      <c r="K354" s="312"/>
    </row>
    <row r="355" customFormat="false" ht="15" hidden="true" customHeight="false" outlineLevel="0" collapsed="false">
      <c r="A355" s="312"/>
      <c r="B355" s="312"/>
      <c r="C355" s="312"/>
      <c r="D355" s="312"/>
      <c r="E355" s="312"/>
      <c r="F355" s="312"/>
      <c r="G355" s="312"/>
      <c r="H355" s="312"/>
      <c r="I355" s="312"/>
      <c r="J355" s="312"/>
      <c r="K355" s="312"/>
    </row>
    <row r="356" customFormat="false" ht="15" hidden="true" customHeight="false" outlineLevel="0" collapsed="false">
      <c r="A356" s="312"/>
      <c r="B356" s="312"/>
      <c r="C356" s="312"/>
      <c r="D356" s="312"/>
      <c r="E356" s="312"/>
      <c r="F356" s="312"/>
      <c r="G356" s="312"/>
      <c r="H356" s="312"/>
      <c r="I356" s="312"/>
      <c r="J356" s="312"/>
      <c r="K356" s="312"/>
    </row>
    <row r="357" customFormat="false" ht="15" hidden="true" customHeight="false" outlineLevel="0" collapsed="false">
      <c r="A357" s="312"/>
      <c r="B357" s="312"/>
      <c r="C357" s="312"/>
      <c r="D357" s="312"/>
      <c r="E357" s="312"/>
      <c r="F357" s="312"/>
      <c r="G357" s="312"/>
      <c r="H357" s="312"/>
      <c r="I357" s="312"/>
      <c r="J357" s="312"/>
      <c r="K357" s="312"/>
    </row>
    <row r="358" customFormat="false" ht="15" hidden="true" customHeight="false" outlineLevel="0" collapsed="false">
      <c r="A358" s="312"/>
      <c r="B358" s="312"/>
      <c r="C358" s="312"/>
      <c r="D358" s="312"/>
      <c r="E358" s="312"/>
      <c r="F358" s="312"/>
      <c r="G358" s="312"/>
      <c r="H358" s="312"/>
      <c r="I358" s="312"/>
      <c r="J358" s="312"/>
      <c r="K358" s="312"/>
    </row>
    <row r="359" customFormat="false" ht="15" hidden="true" customHeight="false" outlineLevel="0" collapsed="false">
      <c r="A359" s="312"/>
      <c r="B359" s="312"/>
      <c r="C359" s="312"/>
      <c r="D359" s="312"/>
      <c r="E359" s="312"/>
      <c r="F359" s="312"/>
      <c r="G359" s="312"/>
      <c r="H359" s="312"/>
      <c r="I359" s="312"/>
      <c r="J359" s="312"/>
      <c r="K359" s="312"/>
    </row>
    <row r="360" customFormat="false" ht="15" hidden="true" customHeight="false" outlineLevel="0" collapsed="false">
      <c r="A360" s="312"/>
      <c r="B360" s="312"/>
      <c r="C360" s="312"/>
      <c r="D360" s="312"/>
      <c r="E360" s="312"/>
      <c r="F360" s="312"/>
      <c r="G360" s="312"/>
      <c r="H360" s="312"/>
      <c r="I360" s="312"/>
      <c r="J360" s="312"/>
      <c r="K360" s="312"/>
    </row>
    <row r="361" customFormat="false" ht="15" hidden="true" customHeight="false" outlineLevel="0" collapsed="false">
      <c r="A361" s="312"/>
      <c r="B361" s="312"/>
      <c r="C361" s="312"/>
      <c r="D361" s="312"/>
      <c r="E361" s="312"/>
      <c r="F361" s="312"/>
      <c r="G361" s="312"/>
      <c r="H361" s="312"/>
      <c r="I361" s="312"/>
      <c r="J361" s="312"/>
      <c r="K361" s="312"/>
    </row>
    <row r="362" customFormat="false" ht="15" hidden="true" customHeight="false" outlineLevel="0" collapsed="false">
      <c r="A362" s="312"/>
      <c r="B362" s="312"/>
      <c r="C362" s="312"/>
      <c r="D362" s="312"/>
      <c r="E362" s="312"/>
      <c r="F362" s="312"/>
      <c r="G362" s="312"/>
      <c r="H362" s="312"/>
      <c r="I362" s="312"/>
      <c r="J362" s="312"/>
      <c r="K362" s="312"/>
    </row>
    <row r="363" customFormat="false" ht="15" hidden="true" customHeight="false" outlineLevel="0" collapsed="false">
      <c r="A363" s="312"/>
      <c r="B363" s="312"/>
      <c r="C363" s="312"/>
      <c r="D363" s="312"/>
      <c r="E363" s="312"/>
      <c r="F363" s="312"/>
      <c r="G363" s="312"/>
      <c r="H363" s="312"/>
      <c r="I363" s="312"/>
      <c r="J363" s="312"/>
      <c r="K363" s="312"/>
    </row>
    <row r="364" customFormat="false" ht="15" hidden="true" customHeight="false" outlineLevel="0" collapsed="false">
      <c r="A364" s="312"/>
      <c r="B364" s="312"/>
      <c r="C364" s="312"/>
      <c r="D364" s="312"/>
      <c r="E364" s="312"/>
      <c r="F364" s="312"/>
      <c r="G364" s="312"/>
      <c r="H364" s="312"/>
      <c r="I364" s="312"/>
      <c r="J364" s="312"/>
      <c r="K364" s="312"/>
    </row>
    <row r="365" customFormat="false" ht="15" hidden="true" customHeight="false" outlineLevel="0" collapsed="false">
      <c r="A365" s="312"/>
      <c r="B365" s="312"/>
      <c r="C365" s="312"/>
      <c r="D365" s="312"/>
      <c r="E365" s="312"/>
      <c r="F365" s="312"/>
      <c r="G365" s="312"/>
      <c r="H365" s="312"/>
      <c r="I365" s="312"/>
      <c r="J365" s="312"/>
      <c r="K365" s="312"/>
    </row>
    <row r="366" customFormat="false" ht="15" hidden="true" customHeight="false" outlineLevel="0" collapsed="false">
      <c r="A366" s="312"/>
      <c r="B366" s="312"/>
      <c r="C366" s="312"/>
      <c r="D366" s="312"/>
      <c r="E366" s="312"/>
      <c r="F366" s="312"/>
      <c r="G366" s="312"/>
      <c r="H366" s="312"/>
      <c r="I366" s="312"/>
      <c r="J366" s="312"/>
      <c r="K366" s="312"/>
    </row>
    <row r="367" customFormat="false" ht="15" hidden="true" customHeight="false" outlineLevel="0" collapsed="false">
      <c r="A367" s="312"/>
      <c r="B367" s="312"/>
      <c r="C367" s="312"/>
      <c r="D367" s="312"/>
      <c r="E367" s="312"/>
      <c r="F367" s="312"/>
      <c r="G367" s="312"/>
      <c r="H367" s="312"/>
      <c r="I367" s="312"/>
      <c r="J367" s="312"/>
      <c r="K367" s="312"/>
    </row>
    <row r="368" customFormat="false" ht="15" hidden="true" customHeight="false" outlineLevel="0" collapsed="false">
      <c r="A368" s="312"/>
      <c r="B368" s="312"/>
      <c r="C368" s="312"/>
      <c r="D368" s="312"/>
      <c r="E368" s="312"/>
      <c r="F368" s="312"/>
      <c r="G368" s="312"/>
      <c r="H368" s="312"/>
      <c r="I368" s="312"/>
      <c r="J368" s="312"/>
      <c r="K368" s="312"/>
    </row>
    <row r="369" customFormat="false" ht="15" hidden="true" customHeight="false" outlineLevel="0" collapsed="false">
      <c r="A369" s="312"/>
      <c r="B369" s="312"/>
      <c r="C369" s="312"/>
      <c r="D369" s="312"/>
      <c r="E369" s="312"/>
      <c r="F369" s="312"/>
      <c r="G369" s="312"/>
      <c r="H369" s="312"/>
      <c r="I369" s="312"/>
      <c r="J369" s="312"/>
      <c r="K369" s="312"/>
    </row>
    <row r="370" customFormat="false" ht="15" hidden="true" customHeight="false" outlineLevel="0" collapsed="false">
      <c r="A370" s="312"/>
      <c r="B370" s="312"/>
      <c r="C370" s="312"/>
      <c r="D370" s="312"/>
      <c r="E370" s="312"/>
      <c r="F370" s="312"/>
      <c r="G370" s="312"/>
      <c r="H370" s="312"/>
      <c r="I370" s="312"/>
      <c r="J370" s="312"/>
      <c r="K370" s="312"/>
    </row>
    <row r="371" customFormat="false" ht="15" hidden="true" customHeight="false" outlineLevel="0" collapsed="false">
      <c r="A371" s="312"/>
      <c r="B371" s="312"/>
      <c r="C371" s="312"/>
      <c r="D371" s="312"/>
      <c r="E371" s="312"/>
      <c r="F371" s="312"/>
      <c r="G371" s="312"/>
      <c r="H371" s="312"/>
      <c r="I371" s="312"/>
      <c r="J371" s="312"/>
      <c r="K371" s="312"/>
    </row>
    <row r="372" customFormat="false" ht="15" hidden="true" customHeight="false" outlineLevel="0" collapsed="false">
      <c r="A372" s="312"/>
      <c r="B372" s="312"/>
      <c r="C372" s="312"/>
      <c r="D372" s="312"/>
      <c r="E372" s="312"/>
      <c r="F372" s="312"/>
      <c r="G372" s="312"/>
      <c r="H372" s="312"/>
      <c r="I372" s="312"/>
      <c r="J372" s="312"/>
      <c r="K372" s="312"/>
    </row>
    <row r="373" customFormat="false" ht="15" hidden="true" customHeight="false" outlineLevel="0" collapsed="false">
      <c r="A373" s="312"/>
      <c r="B373" s="312"/>
      <c r="C373" s="312"/>
      <c r="D373" s="312"/>
      <c r="E373" s="312"/>
      <c r="F373" s="312"/>
      <c r="G373" s="312"/>
      <c r="H373" s="312"/>
      <c r="I373" s="312"/>
      <c r="J373" s="312"/>
      <c r="K373" s="312"/>
    </row>
    <row r="374" customFormat="false" ht="15" hidden="true" customHeight="false" outlineLevel="0" collapsed="false">
      <c r="A374" s="312"/>
      <c r="B374" s="312"/>
      <c r="C374" s="312"/>
      <c r="D374" s="312"/>
      <c r="E374" s="312"/>
      <c r="F374" s="312"/>
      <c r="G374" s="312"/>
      <c r="H374" s="312"/>
      <c r="I374" s="312"/>
      <c r="J374" s="312"/>
      <c r="K374" s="312"/>
    </row>
    <row r="375" customFormat="false" ht="15" hidden="true" customHeight="false" outlineLevel="0" collapsed="false">
      <c r="A375" s="312"/>
      <c r="B375" s="312"/>
      <c r="C375" s="312"/>
      <c r="D375" s="312"/>
      <c r="E375" s="312"/>
      <c r="F375" s="312"/>
      <c r="G375" s="312"/>
      <c r="H375" s="312"/>
      <c r="I375" s="312"/>
      <c r="J375" s="312"/>
      <c r="K375" s="312"/>
    </row>
    <row r="376" customFormat="false" ht="15" hidden="true" customHeight="false" outlineLevel="0" collapsed="false">
      <c r="A376" s="312"/>
      <c r="B376" s="312"/>
      <c r="C376" s="312"/>
      <c r="D376" s="312"/>
      <c r="E376" s="312"/>
      <c r="F376" s="312"/>
      <c r="G376" s="312"/>
      <c r="H376" s="312"/>
      <c r="I376" s="312"/>
      <c r="J376" s="312"/>
      <c r="K376" s="312"/>
    </row>
    <row r="377" customFormat="false" ht="15" hidden="true" customHeight="false" outlineLevel="0" collapsed="false">
      <c r="A377" s="312"/>
      <c r="B377" s="312"/>
      <c r="C377" s="312"/>
      <c r="D377" s="312"/>
      <c r="E377" s="312"/>
      <c r="F377" s="312"/>
      <c r="G377" s="312"/>
      <c r="H377" s="312"/>
      <c r="I377" s="312"/>
      <c r="J377" s="312"/>
      <c r="K377" s="312"/>
    </row>
    <row r="378" customFormat="false" ht="15" hidden="true" customHeight="false" outlineLevel="0" collapsed="false">
      <c r="A378" s="312"/>
      <c r="B378" s="312"/>
      <c r="C378" s="312"/>
      <c r="D378" s="312"/>
      <c r="E378" s="312"/>
      <c r="F378" s="312"/>
      <c r="G378" s="312"/>
      <c r="H378" s="312"/>
      <c r="I378" s="312"/>
      <c r="J378" s="312"/>
      <c r="K378" s="312"/>
    </row>
    <row r="379" customFormat="false" ht="15" hidden="true" customHeight="false" outlineLevel="0" collapsed="false">
      <c r="A379" s="312"/>
      <c r="B379" s="312"/>
      <c r="C379" s="312"/>
      <c r="D379" s="312"/>
      <c r="E379" s="312"/>
      <c r="F379" s="312"/>
      <c r="G379" s="312"/>
      <c r="H379" s="312"/>
      <c r="I379" s="312"/>
      <c r="J379" s="312"/>
      <c r="K379" s="312"/>
    </row>
    <row r="380" customFormat="false" ht="15" hidden="true" customHeight="false" outlineLevel="0" collapsed="false">
      <c r="A380" s="312"/>
      <c r="B380" s="312"/>
      <c r="C380" s="312"/>
      <c r="D380" s="312"/>
      <c r="E380" s="312"/>
      <c r="F380" s="312"/>
      <c r="G380" s="312"/>
      <c r="H380" s="312"/>
      <c r="I380" s="312"/>
      <c r="J380" s="312"/>
      <c r="K380" s="312"/>
    </row>
    <row r="381" customFormat="false" ht="15" hidden="true" customHeight="false" outlineLevel="0" collapsed="false">
      <c r="A381" s="312"/>
      <c r="B381" s="312"/>
      <c r="C381" s="312"/>
      <c r="D381" s="312"/>
      <c r="E381" s="312"/>
      <c r="F381" s="312"/>
      <c r="G381" s="312"/>
      <c r="H381" s="312"/>
      <c r="I381" s="312"/>
      <c r="J381" s="312"/>
      <c r="K381" s="312"/>
    </row>
    <row r="382" customFormat="false" ht="15" hidden="true" customHeight="false" outlineLevel="0" collapsed="false">
      <c r="A382" s="312"/>
      <c r="B382" s="312"/>
      <c r="C382" s="312"/>
      <c r="D382" s="312"/>
      <c r="E382" s="312"/>
      <c r="F382" s="312"/>
      <c r="G382" s="312"/>
      <c r="H382" s="312"/>
      <c r="I382" s="312"/>
      <c r="J382" s="312"/>
      <c r="K382" s="312"/>
    </row>
    <row r="383" customFormat="false" ht="15" hidden="true" customHeight="false" outlineLevel="0" collapsed="false">
      <c r="A383" s="312"/>
      <c r="B383" s="312"/>
      <c r="C383" s="312"/>
      <c r="D383" s="312"/>
      <c r="E383" s="312"/>
      <c r="F383" s="312"/>
      <c r="G383" s="312"/>
      <c r="H383" s="312"/>
      <c r="I383" s="312"/>
      <c r="J383" s="312"/>
      <c r="K383" s="312"/>
    </row>
    <row r="384" customFormat="false" ht="15" hidden="true" customHeight="false" outlineLevel="0" collapsed="false">
      <c r="A384" s="312"/>
      <c r="B384" s="312"/>
      <c r="C384" s="312"/>
      <c r="D384" s="312"/>
      <c r="E384" s="312"/>
      <c r="F384" s="312"/>
      <c r="G384" s="312"/>
      <c r="H384" s="312"/>
      <c r="I384" s="312"/>
      <c r="J384" s="312"/>
      <c r="K384" s="312"/>
    </row>
    <row r="385" customFormat="false" ht="15" hidden="true" customHeight="false" outlineLevel="0" collapsed="false">
      <c r="A385" s="312"/>
      <c r="B385" s="312"/>
      <c r="C385" s="312"/>
      <c r="D385" s="312"/>
      <c r="E385" s="312"/>
      <c r="F385" s="312"/>
      <c r="G385" s="312"/>
      <c r="H385" s="312"/>
      <c r="I385" s="312"/>
      <c r="J385" s="312"/>
      <c r="K385" s="312"/>
    </row>
    <row r="386" customFormat="false" ht="15" hidden="true" customHeight="false" outlineLevel="0" collapsed="false">
      <c r="A386" s="312"/>
      <c r="B386" s="312"/>
      <c r="C386" s="312"/>
      <c r="D386" s="312"/>
      <c r="E386" s="312"/>
      <c r="F386" s="312"/>
      <c r="G386" s="312"/>
      <c r="H386" s="312"/>
      <c r="I386" s="312"/>
      <c r="J386" s="312"/>
      <c r="K386" s="312"/>
    </row>
    <row r="387" customFormat="false" ht="15" hidden="true" customHeight="false" outlineLevel="0" collapsed="false">
      <c r="A387" s="312"/>
      <c r="B387" s="312"/>
      <c r="C387" s="312"/>
      <c r="D387" s="312"/>
      <c r="E387" s="312"/>
      <c r="F387" s="312"/>
      <c r="G387" s="312"/>
      <c r="H387" s="312"/>
      <c r="I387" s="312"/>
      <c r="J387" s="312"/>
      <c r="K387" s="312"/>
    </row>
    <row r="388" customFormat="false" ht="15" hidden="true" customHeight="false" outlineLevel="0" collapsed="false">
      <c r="A388" s="312"/>
      <c r="B388" s="312"/>
      <c r="C388" s="312"/>
      <c r="D388" s="312"/>
      <c r="E388" s="312"/>
      <c r="F388" s="312"/>
      <c r="G388" s="312"/>
      <c r="H388" s="312"/>
      <c r="I388" s="312"/>
      <c r="J388" s="312"/>
      <c r="K388" s="312"/>
    </row>
    <row r="389" customFormat="false" ht="15" hidden="true" customHeight="false" outlineLevel="0" collapsed="false">
      <c r="A389" s="312"/>
      <c r="B389" s="312"/>
      <c r="C389" s="312"/>
      <c r="D389" s="312"/>
      <c r="E389" s="312"/>
      <c r="F389" s="312"/>
      <c r="G389" s="312"/>
      <c r="H389" s="312"/>
      <c r="I389" s="312"/>
      <c r="J389" s="312"/>
      <c r="K389" s="312"/>
    </row>
    <row r="390" customFormat="false" ht="15" hidden="true" customHeight="false" outlineLevel="0" collapsed="false">
      <c r="A390" s="312"/>
      <c r="B390" s="312"/>
      <c r="C390" s="312"/>
      <c r="D390" s="312"/>
      <c r="E390" s="312"/>
      <c r="F390" s="312"/>
      <c r="G390" s="312"/>
      <c r="H390" s="312"/>
      <c r="I390" s="312"/>
      <c r="J390" s="312"/>
      <c r="K390" s="312"/>
    </row>
    <row r="391" customFormat="false" ht="15" hidden="true" customHeight="false" outlineLevel="0" collapsed="false">
      <c r="A391" s="312"/>
      <c r="B391" s="312"/>
      <c r="C391" s="312"/>
      <c r="D391" s="312"/>
      <c r="E391" s="312"/>
      <c r="F391" s="312"/>
      <c r="G391" s="312"/>
      <c r="H391" s="312"/>
      <c r="I391" s="312"/>
      <c r="J391" s="312"/>
      <c r="K391" s="312"/>
    </row>
    <row r="392" customFormat="false" ht="15" hidden="true" customHeight="false" outlineLevel="0" collapsed="false">
      <c r="A392" s="312"/>
      <c r="B392" s="312"/>
      <c r="C392" s="312"/>
      <c r="D392" s="312"/>
      <c r="E392" s="312"/>
      <c r="F392" s="312"/>
      <c r="G392" s="312"/>
      <c r="H392" s="312"/>
      <c r="I392" s="312"/>
      <c r="J392" s="312"/>
      <c r="K392" s="312"/>
    </row>
    <row r="393" customFormat="false" ht="15" hidden="true" customHeight="false" outlineLevel="0" collapsed="false">
      <c r="A393" s="312"/>
      <c r="B393" s="312"/>
      <c r="C393" s="312"/>
      <c r="D393" s="312"/>
      <c r="E393" s="312"/>
      <c r="F393" s="312"/>
      <c r="G393" s="312"/>
      <c r="H393" s="312"/>
      <c r="I393" s="312"/>
      <c r="J393" s="312"/>
      <c r="K393" s="312"/>
    </row>
    <row r="394" customFormat="false" ht="15" hidden="true" customHeight="false" outlineLevel="0" collapsed="false">
      <c r="A394" s="312"/>
      <c r="B394" s="312"/>
      <c r="C394" s="312"/>
      <c r="D394" s="312"/>
      <c r="E394" s="312"/>
      <c r="F394" s="312"/>
      <c r="G394" s="312"/>
      <c r="H394" s="312"/>
      <c r="I394" s="312"/>
      <c r="J394" s="312"/>
      <c r="K394" s="312"/>
    </row>
    <row r="395" customFormat="false" ht="15" hidden="true" customHeight="false" outlineLevel="0" collapsed="false">
      <c r="A395" s="312"/>
      <c r="B395" s="312"/>
      <c r="C395" s="312"/>
      <c r="D395" s="312"/>
      <c r="E395" s="312"/>
      <c r="F395" s="312"/>
      <c r="G395" s="312"/>
      <c r="H395" s="312"/>
      <c r="I395" s="312"/>
      <c r="J395" s="312"/>
      <c r="K395" s="312"/>
    </row>
    <row r="396" customFormat="false" ht="15" hidden="true" customHeight="false" outlineLevel="0" collapsed="false">
      <c r="A396" s="312"/>
      <c r="B396" s="312"/>
      <c r="C396" s="312"/>
      <c r="D396" s="312"/>
      <c r="E396" s="312"/>
      <c r="F396" s="312"/>
      <c r="G396" s="312"/>
      <c r="H396" s="312"/>
      <c r="I396" s="312"/>
      <c r="J396" s="312"/>
      <c r="K396" s="312"/>
    </row>
    <row r="397" customFormat="false" ht="15" hidden="true" customHeight="false" outlineLevel="0" collapsed="false">
      <c r="A397" s="312"/>
      <c r="B397" s="312"/>
      <c r="C397" s="312"/>
      <c r="D397" s="312"/>
      <c r="E397" s="312"/>
      <c r="F397" s="312"/>
      <c r="G397" s="312"/>
      <c r="H397" s="312"/>
      <c r="I397" s="312"/>
      <c r="J397" s="312"/>
      <c r="K397" s="312"/>
    </row>
    <row r="398" customFormat="false" ht="15" hidden="true" customHeight="false" outlineLevel="0" collapsed="false">
      <c r="A398" s="312"/>
      <c r="B398" s="312"/>
      <c r="C398" s="312"/>
      <c r="D398" s="312"/>
      <c r="E398" s="312"/>
      <c r="F398" s="312"/>
      <c r="G398" s="312"/>
      <c r="H398" s="312"/>
      <c r="I398" s="312"/>
      <c r="J398" s="312"/>
      <c r="K398" s="312"/>
    </row>
    <row r="399" customFormat="false" ht="15" hidden="true" customHeight="false" outlineLevel="0" collapsed="false">
      <c r="A399" s="312"/>
      <c r="B399" s="312"/>
      <c r="C399" s="312"/>
      <c r="D399" s="312"/>
      <c r="E399" s="312"/>
      <c r="F399" s="312"/>
      <c r="G399" s="312"/>
      <c r="H399" s="312"/>
      <c r="I399" s="312"/>
      <c r="J399" s="312"/>
      <c r="K399" s="312"/>
    </row>
    <row r="400" customFormat="false" ht="15" hidden="true" customHeight="false" outlineLevel="0" collapsed="false">
      <c r="A400" s="312"/>
      <c r="B400" s="312"/>
      <c r="C400" s="312"/>
      <c r="D400" s="312"/>
      <c r="E400" s="312"/>
      <c r="F400" s="312"/>
      <c r="G400" s="312"/>
      <c r="H400" s="312"/>
      <c r="I400" s="312"/>
      <c r="J400" s="312"/>
      <c r="K400" s="312"/>
    </row>
    <row r="401" customFormat="false" ht="15" hidden="true" customHeight="false" outlineLevel="0" collapsed="false">
      <c r="A401" s="312"/>
      <c r="B401" s="312"/>
      <c r="C401" s="312"/>
      <c r="D401" s="312"/>
      <c r="E401" s="312"/>
      <c r="F401" s="312"/>
      <c r="G401" s="312"/>
      <c r="H401" s="312"/>
      <c r="I401" s="312"/>
      <c r="J401" s="312"/>
      <c r="K401" s="312"/>
    </row>
    <row r="402" customFormat="false" ht="15" hidden="true" customHeight="false" outlineLevel="0" collapsed="false">
      <c r="A402" s="312"/>
      <c r="B402" s="312"/>
      <c r="C402" s="312"/>
      <c r="D402" s="312"/>
      <c r="E402" s="312"/>
      <c r="F402" s="312"/>
      <c r="G402" s="312"/>
      <c r="H402" s="312"/>
      <c r="I402" s="312"/>
      <c r="J402" s="312"/>
      <c r="K402" s="312"/>
    </row>
    <row r="403" customFormat="false" ht="15" hidden="true" customHeight="false" outlineLevel="0" collapsed="false">
      <c r="A403" s="312"/>
      <c r="B403" s="312"/>
      <c r="C403" s="312"/>
      <c r="D403" s="312"/>
      <c r="E403" s="312"/>
      <c r="F403" s="312"/>
      <c r="G403" s="312"/>
      <c r="H403" s="312"/>
      <c r="I403" s="312"/>
      <c r="J403" s="312"/>
      <c r="K403" s="312"/>
    </row>
    <row r="404" customFormat="false" ht="15" hidden="true" customHeight="false" outlineLevel="0" collapsed="false">
      <c r="A404" s="312"/>
      <c r="B404" s="312"/>
      <c r="C404" s="312"/>
      <c r="D404" s="312"/>
      <c r="E404" s="312"/>
      <c r="F404" s="312"/>
      <c r="G404" s="312"/>
      <c r="H404" s="312"/>
      <c r="I404" s="312"/>
      <c r="J404" s="312"/>
      <c r="K404" s="312"/>
    </row>
    <row r="405" customFormat="false" ht="15" hidden="true" customHeight="false" outlineLevel="0" collapsed="false">
      <c r="A405" s="312"/>
      <c r="B405" s="312"/>
      <c r="C405" s="312"/>
      <c r="D405" s="312"/>
      <c r="E405" s="312"/>
      <c r="F405" s="312"/>
      <c r="G405" s="312"/>
      <c r="H405" s="312"/>
      <c r="I405" s="312"/>
      <c r="J405" s="312"/>
      <c r="K405" s="312"/>
    </row>
    <row r="406" customFormat="false" ht="15" hidden="true" customHeight="false" outlineLevel="0" collapsed="false">
      <c r="A406" s="312"/>
      <c r="B406" s="312"/>
      <c r="C406" s="312"/>
      <c r="D406" s="312"/>
      <c r="E406" s="312"/>
      <c r="F406" s="312"/>
      <c r="G406" s="312"/>
      <c r="H406" s="312"/>
      <c r="I406" s="312"/>
      <c r="J406" s="312"/>
      <c r="K406" s="312"/>
    </row>
    <row r="407" customFormat="false" ht="15" hidden="true" customHeight="false" outlineLevel="0" collapsed="false">
      <c r="A407" s="312"/>
      <c r="B407" s="312"/>
      <c r="C407" s="312"/>
      <c r="D407" s="312"/>
      <c r="E407" s="312"/>
      <c r="F407" s="312"/>
      <c r="G407" s="312"/>
      <c r="H407" s="312"/>
      <c r="I407" s="312"/>
      <c r="J407" s="312"/>
      <c r="K407" s="312"/>
    </row>
    <row r="408" customFormat="false" ht="15" hidden="true" customHeight="false" outlineLevel="0" collapsed="false">
      <c r="A408" s="312"/>
      <c r="B408" s="312"/>
      <c r="C408" s="312"/>
      <c r="D408" s="312"/>
      <c r="E408" s="312"/>
      <c r="F408" s="312"/>
      <c r="G408" s="312"/>
      <c r="H408" s="312"/>
      <c r="I408" s="312"/>
      <c r="J408" s="312"/>
      <c r="K408" s="312"/>
    </row>
    <row r="409" customFormat="false" ht="15" hidden="true" customHeight="false" outlineLevel="0" collapsed="false">
      <c r="A409" s="312"/>
      <c r="B409" s="312"/>
      <c r="C409" s="312"/>
      <c r="D409" s="312"/>
      <c r="E409" s="312"/>
      <c r="F409" s="312"/>
      <c r="G409" s="312"/>
      <c r="H409" s="312"/>
      <c r="I409" s="312"/>
      <c r="J409" s="312"/>
      <c r="K409" s="312"/>
    </row>
    <row r="410" customFormat="false" ht="15" hidden="true" customHeight="false" outlineLevel="0" collapsed="false">
      <c r="A410" s="312"/>
      <c r="B410" s="312"/>
      <c r="C410" s="312"/>
      <c r="D410" s="312"/>
      <c r="E410" s="312"/>
      <c r="F410" s="312"/>
      <c r="G410" s="312"/>
      <c r="H410" s="312"/>
      <c r="I410" s="312"/>
      <c r="J410" s="312"/>
      <c r="K410" s="312"/>
    </row>
    <row r="411" customFormat="false" ht="15" hidden="true" customHeight="false" outlineLevel="0" collapsed="false">
      <c r="A411" s="312"/>
      <c r="B411" s="312"/>
      <c r="C411" s="312"/>
      <c r="D411" s="312"/>
      <c r="E411" s="312"/>
      <c r="F411" s="312"/>
      <c r="G411" s="312"/>
      <c r="H411" s="312"/>
      <c r="I411" s="312"/>
      <c r="J411" s="312"/>
      <c r="K411" s="312"/>
    </row>
    <row r="412" customFormat="false" ht="15" hidden="true" customHeight="false" outlineLevel="0" collapsed="false">
      <c r="A412" s="312"/>
      <c r="B412" s="312"/>
      <c r="C412" s="312"/>
      <c r="D412" s="312"/>
      <c r="E412" s="312"/>
      <c r="F412" s="312"/>
      <c r="G412" s="312"/>
      <c r="H412" s="312"/>
      <c r="I412" s="312"/>
      <c r="J412" s="312"/>
      <c r="K412" s="312"/>
    </row>
    <row r="413" customFormat="false" ht="15" hidden="true" customHeight="false" outlineLevel="0" collapsed="false">
      <c r="A413" s="312"/>
      <c r="B413" s="312"/>
      <c r="C413" s="312"/>
      <c r="D413" s="312"/>
      <c r="E413" s="312"/>
      <c r="F413" s="312"/>
      <c r="G413" s="312"/>
      <c r="H413" s="312"/>
      <c r="I413" s="312"/>
      <c r="J413" s="312"/>
      <c r="K413" s="312"/>
    </row>
    <row r="414" customFormat="false" ht="15" hidden="true" customHeight="false" outlineLevel="0" collapsed="false">
      <c r="A414" s="312"/>
      <c r="B414" s="312"/>
      <c r="C414" s="312"/>
      <c r="D414" s="312"/>
      <c r="E414" s="312"/>
      <c r="F414" s="312"/>
      <c r="G414" s="312"/>
      <c r="H414" s="312"/>
      <c r="I414" s="312"/>
      <c r="J414" s="312"/>
      <c r="K414" s="312"/>
    </row>
    <row r="415" customFormat="false" ht="15" hidden="true" customHeight="false" outlineLevel="0" collapsed="false">
      <c r="A415" s="312"/>
      <c r="B415" s="312"/>
      <c r="C415" s="312"/>
      <c r="D415" s="312"/>
      <c r="E415" s="312"/>
      <c r="F415" s="312"/>
      <c r="G415" s="312"/>
      <c r="H415" s="312"/>
      <c r="I415" s="312"/>
      <c r="J415" s="312"/>
      <c r="K415" s="312"/>
    </row>
    <row r="416" customFormat="false" ht="15" hidden="true" customHeight="false" outlineLevel="0" collapsed="false">
      <c r="A416" s="312"/>
      <c r="B416" s="312"/>
      <c r="C416" s="312"/>
      <c r="D416" s="312"/>
      <c r="E416" s="312"/>
      <c r="F416" s="312"/>
      <c r="G416" s="312"/>
      <c r="H416" s="312"/>
      <c r="I416" s="312"/>
      <c r="J416" s="312"/>
      <c r="K416" s="312"/>
    </row>
    <row r="417" customFormat="false" ht="15" hidden="true" customHeight="false" outlineLevel="0" collapsed="false">
      <c r="A417" s="312"/>
      <c r="B417" s="312"/>
      <c r="C417" s="312"/>
      <c r="D417" s="312"/>
      <c r="E417" s="312"/>
      <c r="F417" s="312"/>
      <c r="G417" s="312"/>
      <c r="H417" s="312"/>
      <c r="I417" s="312"/>
      <c r="J417" s="312"/>
      <c r="K417" s="312"/>
    </row>
    <row r="418" customFormat="false" ht="15" hidden="true" customHeight="false" outlineLevel="0" collapsed="false">
      <c r="A418" s="312"/>
      <c r="B418" s="312"/>
      <c r="C418" s="312"/>
      <c r="D418" s="312"/>
      <c r="E418" s="312"/>
      <c r="F418" s="312"/>
      <c r="G418" s="312"/>
      <c r="H418" s="312"/>
      <c r="I418" s="312"/>
      <c r="J418" s="312"/>
      <c r="K418" s="312"/>
    </row>
    <row r="419" customFormat="false" ht="15" hidden="true" customHeight="false" outlineLevel="0" collapsed="false">
      <c r="A419" s="312"/>
      <c r="B419" s="312"/>
      <c r="C419" s="312"/>
      <c r="D419" s="312"/>
      <c r="E419" s="312"/>
      <c r="F419" s="312"/>
      <c r="G419" s="312"/>
      <c r="H419" s="312"/>
      <c r="I419" s="312"/>
      <c r="J419" s="312"/>
      <c r="K419" s="312"/>
    </row>
    <row r="420" customFormat="false" ht="15" hidden="true" customHeight="false" outlineLevel="0" collapsed="false">
      <c r="A420" s="312"/>
      <c r="B420" s="312"/>
      <c r="C420" s="312"/>
      <c r="D420" s="312"/>
      <c r="E420" s="312"/>
      <c r="F420" s="312"/>
      <c r="G420" s="312"/>
      <c r="H420" s="312"/>
      <c r="I420" s="312"/>
      <c r="J420" s="312"/>
      <c r="K420" s="312"/>
    </row>
    <row r="421" customFormat="false" ht="15" hidden="true" customHeight="false" outlineLevel="0" collapsed="false">
      <c r="A421" s="312"/>
      <c r="B421" s="312"/>
      <c r="C421" s="312"/>
      <c r="D421" s="312"/>
      <c r="E421" s="312"/>
      <c r="F421" s="312"/>
      <c r="G421" s="312"/>
      <c r="H421" s="312"/>
      <c r="I421" s="312"/>
      <c r="J421" s="312"/>
      <c r="K421" s="312"/>
    </row>
    <row r="422" customFormat="false" ht="15" hidden="true" customHeight="false" outlineLevel="0" collapsed="false">
      <c r="A422" s="312"/>
      <c r="B422" s="312"/>
      <c r="C422" s="312"/>
      <c r="D422" s="312"/>
      <c r="E422" s="312"/>
      <c r="F422" s="312"/>
      <c r="G422" s="312"/>
      <c r="H422" s="312"/>
      <c r="I422" s="312"/>
      <c r="J422" s="312"/>
      <c r="K422" s="312"/>
    </row>
    <row r="423" customFormat="false" ht="15" hidden="true" customHeight="false" outlineLevel="0" collapsed="false">
      <c r="A423" s="312"/>
      <c r="B423" s="312"/>
      <c r="C423" s="312"/>
      <c r="D423" s="312"/>
      <c r="E423" s="312"/>
      <c r="F423" s="312"/>
      <c r="G423" s="312"/>
      <c r="H423" s="312"/>
      <c r="I423" s="312"/>
      <c r="J423" s="312"/>
      <c r="K423" s="312"/>
    </row>
    <row r="424" customFormat="false" ht="15" hidden="true" customHeight="false" outlineLevel="0" collapsed="false">
      <c r="A424" s="312"/>
      <c r="B424" s="312"/>
      <c r="C424" s="312"/>
      <c r="D424" s="312"/>
      <c r="E424" s="312"/>
      <c r="F424" s="312"/>
      <c r="G424" s="312"/>
      <c r="H424" s="312"/>
      <c r="I424" s="312"/>
      <c r="J424" s="312"/>
      <c r="K424" s="312"/>
    </row>
    <row r="425" customFormat="false" ht="15" hidden="true" customHeight="false" outlineLevel="0" collapsed="false">
      <c r="A425" s="312"/>
      <c r="B425" s="312"/>
      <c r="C425" s="312"/>
      <c r="D425" s="312"/>
      <c r="E425" s="312"/>
      <c r="F425" s="312"/>
      <c r="G425" s="312"/>
      <c r="H425" s="312"/>
      <c r="I425" s="312"/>
      <c r="J425" s="312"/>
      <c r="K425" s="312"/>
    </row>
    <row r="426" customFormat="false" ht="15" hidden="true" customHeight="false" outlineLevel="0" collapsed="false">
      <c r="A426" s="312"/>
      <c r="B426" s="312"/>
      <c r="C426" s="312"/>
      <c r="D426" s="312"/>
      <c r="E426" s="312"/>
      <c r="F426" s="312"/>
      <c r="G426" s="312"/>
      <c r="H426" s="312"/>
      <c r="I426" s="312"/>
      <c r="J426" s="312"/>
      <c r="K426" s="312"/>
    </row>
    <row r="427" customFormat="false" ht="15" hidden="true" customHeight="false" outlineLevel="0" collapsed="false">
      <c r="A427" s="312"/>
      <c r="B427" s="312"/>
      <c r="C427" s="312"/>
      <c r="D427" s="312"/>
      <c r="E427" s="312"/>
      <c r="F427" s="312"/>
      <c r="G427" s="312"/>
      <c r="H427" s="312"/>
      <c r="I427" s="312"/>
      <c r="J427" s="312"/>
      <c r="K427" s="312"/>
    </row>
    <row r="428" customFormat="false" ht="15" hidden="true" customHeight="false" outlineLevel="0" collapsed="false">
      <c r="A428" s="312"/>
      <c r="B428" s="312"/>
      <c r="C428" s="312"/>
      <c r="D428" s="312"/>
      <c r="E428" s="312"/>
      <c r="F428" s="312"/>
      <c r="G428" s="312"/>
      <c r="H428" s="312"/>
      <c r="I428" s="312"/>
      <c r="J428" s="312"/>
      <c r="K428" s="312"/>
    </row>
    <row r="429" customFormat="false" ht="15" hidden="true" customHeight="false" outlineLevel="0" collapsed="false">
      <c r="A429" s="312"/>
      <c r="B429" s="312"/>
      <c r="C429" s="312"/>
      <c r="D429" s="312"/>
      <c r="E429" s="312"/>
      <c r="F429" s="312"/>
      <c r="G429" s="312"/>
      <c r="H429" s="312"/>
      <c r="I429" s="312"/>
      <c r="J429" s="312"/>
      <c r="K429" s="312"/>
    </row>
    <row r="430" customFormat="false" ht="15" hidden="true" customHeight="false" outlineLevel="0" collapsed="false">
      <c r="A430" s="312"/>
      <c r="B430" s="312"/>
      <c r="C430" s="312"/>
      <c r="D430" s="312"/>
      <c r="E430" s="312"/>
      <c r="F430" s="312"/>
      <c r="G430" s="312"/>
      <c r="H430" s="312"/>
      <c r="I430" s="312"/>
      <c r="J430" s="312"/>
      <c r="K430" s="312"/>
    </row>
    <row r="431" customFormat="false" ht="15" hidden="true" customHeight="false" outlineLevel="0" collapsed="false">
      <c r="A431" s="312"/>
      <c r="B431" s="312"/>
      <c r="C431" s="312"/>
      <c r="D431" s="312"/>
      <c r="E431" s="312"/>
      <c r="F431" s="312"/>
      <c r="G431" s="312"/>
      <c r="H431" s="312"/>
      <c r="I431" s="312"/>
      <c r="J431" s="312"/>
      <c r="K431" s="312"/>
    </row>
    <row r="432" customFormat="false" ht="15" hidden="true" customHeight="false" outlineLevel="0" collapsed="false">
      <c r="A432" s="312"/>
      <c r="B432" s="312"/>
      <c r="C432" s="312"/>
      <c r="D432" s="312"/>
      <c r="E432" s="312"/>
      <c r="F432" s="312"/>
      <c r="G432" s="312"/>
      <c r="H432" s="312"/>
      <c r="I432" s="312"/>
      <c r="J432" s="312"/>
      <c r="K432" s="312"/>
    </row>
    <row r="433" customFormat="false" ht="15" hidden="true" customHeight="false" outlineLevel="0" collapsed="false">
      <c r="A433" s="312"/>
      <c r="B433" s="312"/>
      <c r="C433" s="312"/>
      <c r="D433" s="312"/>
      <c r="E433" s="312"/>
      <c r="F433" s="312"/>
      <c r="G433" s="312"/>
      <c r="H433" s="312"/>
      <c r="I433" s="312"/>
      <c r="J433" s="312"/>
      <c r="K433" s="312"/>
    </row>
    <row r="434" customFormat="false" ht="15" hidden="true" customHeight="false" outlineLevel="0" collapsed="false">
      <c r="A434" s="312"/>
      <c r="B434" s="312"/>
      <c r="C434" s="312"/>
      <c r="D434" s="312"/>
      <c r="E434" s="312"/>
      <c r="F434" s="312"/>
      <c r="G434" s="312"/>
      <c r="H434" s="312"/>
      <c r="I434" s="312"/>
      <c r="J434" s="312"/>
      <c r="K434" s="312"/>
    </row>
    <row r="435" customFormat="false" ht="15" hidden="true" customHeight="false" outlineLevel="0" collapsed="false">
      <c r="A435" s="312"/>
      <c r="B435" s="312"/>
      <c r="C435" s="312"/>
      <c r="D435" s="312"/>
      <c r="E435" s="312"/>
      <c r="F435" s="312"/>
      <c r="G435" s="312"/>
      <c r="H435" s="312"/>
      <c r="I435" s="312"/>
      <c r="J435" s="312"/>
      <c r="K435" s="312"/>
    </row>
    <row r="436" customFormat="false" ht="15" hidden="true" customHeight="false" outlineLevel="0" collapsed="false">
      <c r="A436" s="312"/>
      <c r="B436" s="312"/>
      <c r="C436" s="312"/>
      <c r="D436" s="312"/>
      <c r="E436" s="312"/>
      <c r="F436" s="312"/>
      <c r="G436" s="312"/>
      <c r="H436" s="312"/>
      <c r="I436" s="312"/>
      <c r="J436" s="312"/>
      <c r="K436" s="312"/>
    </row>
    <row r="437" customFormat="false" ht="15" hidden="true" customHeight="false" outlineLevel="0" collapsed="false">
      <c r="A437" s="312"/>
      <c r="B437" s="312"/>
      <c r="C437" s="312"/>
      <c r="D437" s="312"/>
      <c r="E437" s="312"/>
      <c r="F437" s="312"/>
      <c r="G437" s="312"/>
      <c r="H437" s="312"/>
      <c r="I437" s="312"/>
      <c r="J437" s="312"/>
      <c r="K437" s="312"/>
    </row>
    <row r="438" customFormat="false" ht="15" hidden="true" customHeight="false" outlineLevel="0" collapsed="false">
      <c r="A438" s="312"/>
      <c r="B438" s="312"/>
      <c r="C438" s="312"/>
      <c r="D438" s="312"/>
      <c r="E438" s="312"/>
      <c r="F438" s="312"/>
      <c r="G438" s="312"/>
      <c r="H438" s="312"/>
      <c r="I438" s="312"/>
      <c r="J438" s="312"/>
      <c r="K438" s="312"/>
    </row>
    <row r="439" customFormat="false" ht="15" hidden="true" customHeight="false" outlineLevel="0" collapsed="false">
      <c r="A439" s="312"/>
      <c r="B439" s="312"/>
      <c r="C439" s="312"/>
      <c r="D439" s="312"/>
      <c r="E439" s="312"/>
      <c r="F439" s="312"/>
      <c r="G439" s="312"/>
      <c r="H439" s="312"/>
      <c r="I439" s="312"/>
      <c r="J439" s="312"/>
      <c r="K439" s="312"/>
    </row>
    <row r="440" customFormat="false" ht="15" hidden="true" customHeight="false" outlineLevel="0" collapsed="false">
      <c r="A440" s="312"/>
      <c r="B440" s="312"/>
      <c r="C440" s="312"/>
      <c r="D440" s="312"/>
      <c r="E440" s="312"/>
      <c r="F440" s="312"/>
      <c r="G440" s="312"/>
      <c r="H440" s="312"/>
      <c r="I440" s="312"/>
      <c r="J440" s="312"/>
      <c r="K440" s="312"/>
    </row>
    <row r="441" customFormat="false" ht="15" hidden="true" customHeight="false" outlineLevel="0" collapsed="false">
      <c r="A441" s="312"/>
      <c r="B441" s="312"/>
      <c r="C441" s="312"/>
      <c r="D441" s="312"/>
      <c r="E441" s="312"/>
      <c r="F441" s="312"/>
      <c r="G441" s="312"/>
      <c r="H441" s="312"/>
      <c r="I441" s="312"/>
      <c r="J441" s="312"/>
      <c r="K441" s="312"/>
    </row>
    <row r="442" customFormat="false" ht="15" hidden="true" customHeight="false" outlineLevel="0" collapsed="false">
      <c r="A442" s="312"/>
      <c r="B442" s="312"/>
      <c r="C442" s="312"/>
      <c r="D442" s="312"/>
      <c r="E442" s="312"/>
      <c r="F442" s="312"/>
      <c r="G442" s="312"/>
      <c r="H442" s="312"/>
      <c r="I442" s="312"/>
      <c r="J442" s="312"/>
      <c r="K442" s="312"/>
    </row>
    <row r="443" customFormat="false" ht="15" hidden="true" customHeight="false" outlineLevel="0" collapsed="false">
      <c r="A443" s="312"/>
      <c r="B443" s="312"/>
      <c r="C443" s="312"/>
      <c r="D443" s="312"/>
      <c r="E443" s="312"/>
      <c r="F443" s="312"/>
      <c r="G443" s="312"/>
      <c r="H443" s="312"/>
      <c r="I443" s="312"/>
      <c r="J443" s="312"/>
      <c r="K443" s="312"/>
    </row>
    <row r="444" customFormat="false" ht="15" hidden="true" customHeight="false" outlineLevel="0" collapsed="false">
      <c r="A444" s="312"/>
      <c r="B444" s="312"/>
      <c r="C444" s="312"/>
      <c r="D444" s="312"/>
      <c r="E444" s="312"/>
      <c r="F444" s="312"/>
      <c r="G444" s="312"/>
      <c r="H444" s="312"/>
      <c r="I444" s="312"/>
      <c r="J444" s="312"/>
      <c r="K444" s="312"/>
    </row>
    <row r="445" customFormat="false" ht="15" hidden="true" customHeight="false" outlineLevel="0" collapsed="false">
      <c r="A445" s="312"/>
      <c r="B445" s="312"/>
      <c r="C445" s="312"/>
      <c r="D445" s="312"/>
      <c r="E445" s="312"/>
      <c r="F445" s="312"/>
      <c r="G445" s="312"/>
      <c r="H445" s="312"/>
      <c r="I445" s="312"/>
      <c r="J445" s="312"/>
      <c r="K445" s="312"/>
    </row>
    <row r="446" customFormat="false" ht="15" hidden="true" customHeight="false" outlineLevel="0" collapsed="false">
      <c r="A446" s="312"/>
      <c r="B446" s="312"/>
      <c r="C446" s="312"/>
      <c r="D446" s="312"/>
      <c r="E446" s="312"/>
      <c r="F446" s="312"/>
      <c r="G446" s="312"/>
      <c r="H446" s="312"/>
      <c r="I446" s="312"/>
      <c r="J446" s="312"/>
      <c r="K446" s="312"/>
    </row>
    <row r="447" customFormat="false" ht="15" hidden="true" customHeight="false" outlineLevel="0" collapsed="false">
      <c r="A447" s="312"/>
      <c r="B447" s="312"/>
      <c r="C447" s="312"/>
      <c r="D447" s="312"/>
      <c r="E447" s="312"/>
      <c r="F447" s="312"/>
      <c r="G447" s="312"/>
      <c r="H447" s="312"/>
      <c r="I447" s="312"/>
      <c r="J447" s="312"/>
      <c r="K447" s="312"/>
    </row>
    <row r="448" customFormat="false" ht="15" hidden="true" customHeight="false" outlineLevel="0" collapsed="false">
      <c r="A448" s="312"/>
      <c r="B448" s="312"/>
      <c r="C448" s="312"/>
      <c r="D448" s="312"/>
      <c r="E448" s="312"/>
      <c r="F448" s="312"/>
      <c r="G448" s="312"/>
      <c r="H448" s="312"/>
      <c r="I448" s="312"/>
      <c r="J448" s="312"/>
      <c r="K448" s="312"/>
    </row>
    <row r="449" customFormat="false" ht="15" hidden="true" customHeight="false" outlineLevel="0" collapsed="false">
      <c r="A449" s="312"/>
      <c r="B449" s="312"/>
      <c r="C449" s="312"/>
      <c r="D449" s="312"/>
      <c r="E449" s="312"/>
      <c r="F449" s="312"/>
      <c r="G449" s="312"/>
      <c r="H449" s="312"/>
      <c r="I449" s="312"/>
      <c r="J449" s="312"/>
      <c r="K449" s="312"/>
    </row>
    <row r="450" customFormat="false" ht="15" hidden="true" customHeight="false" outlineLevel="0" collapsed="false">
      <c r="A450" s="312"/>
      <c r="B450" s="312"/>
      <c r="C450" s="312"/>
      <c r="D450" s="312"/>
      <c r="E450" s="312"/>
      <c r="F450" s="312"/>
      <c r="G450" s="312"/>
      <c r="H450" s="312"/>
      <c r="I450" s="312"/>
      <c r="J450" s="312"/>
      <c r="K450" s="312"/>
    </row>
    <row r="451" customFormat="false" ht="15" hidden="true" customHeight="false" outlineLevel="0" collapsed="false">
      <c r="A451" s="312"/>
      <c r="B451" s="312"/>
      <c r="C451" s="312"/>
      <c r="D451" s="312"/>
      <c r="E451" s="312"/>
      <c r="F451" s="312"/>
      <c r="G451" s="312"/>
      <c r="H451" s="312"/>
      <c r="I451" s="312"/>
      <c r="J451" s="312"/>
      <c r="K451" s="312"/>
    </row>
    <row r="452" customFormat="false" ht="15" hidden="true" customHeight="false" outlineLevel="0" collapsed="false">
      <c r="A452" s="312"/>
      <c r="B452" s="312"/>
      <c r="C452" s="312"/>
      <c r="D452" s="312"/>
      <c r="E452" s="312"/>
      <c r="F452" s="312"/>
      <c r="G452" s="312"/>
      <c r="H452" s="312"/>
      <c r="I452" s="312"/>
      <c r="J452" s="312"/>
      <c r="K452" s="312"/>
    </row>
    <row r="453" customFormat="false" ht="15" hidden="true" customHeight="false" outlineLevel="0" collapsed="false">
      <c r="A453" s="312"/>
      <c r="B453" s="312"/>
      <c r="C453" s="312"/>
      <c r="D453" s="312"/>
      <c r="E453" s="312"/>
      <c r="F453" s="312"/>
      <c r="G453" s="312"/>
      <c r="H453" s="312"/>
      <c r="I453" s="312"/>
      <c r="J453" s="312"/>
      <c r="K453" s="312"/>
    </row>
    <row r="454" customFormat="false" ht="15" hidden="true" customHeight="false" outlineLevel="0" collapsed="false">
      <c r="A454" s="312"/>
      <c r="B454" s="312"/>
      <c r="C454" s="312"/>
      <c r="D454" s="312"/>
      <c r="E454" s="312"/>
      <c r="F454" s="312"/>
      <c r="G454" s="312"/>
      <c r="H454" s="312"/>
      <c r="I454" s="312"/>
      <c r="J454" s="312"/>
      <c r="K454" s="312"/>
    </row>
    <row r="455" customFormat="false" ht="15" hidden="true" customHeight="false" outlineLevel="0" collapsed="false">
      <c r="A455" s="312"/>
      <c r="B455" s="312"/>
      <c r="C455" s="312"/>
      <c r="D455" s="312"/>
      <c r="E455" s="312"/>
      <c r="F455" s="312"/>
      <c r="G455" s="312"/>
      <c r="H455" s="312"/>
      <c r="I455" s="312"/>
      <c r="J455" s="312"/>
      <c r="K455" s="312"/>
    </row>
    <row r="456" customFormat="false" ht="15" hidden="true" customHeight="false" outlineLevel="0" collapsed="false">
      <c r="A456" s="312"/>
      <c r="B456" s="312"/>
      <c r="C456" s="312"/>
      <c r="D456" s="312"/>
      <c r="E456" s="312"/>
      <c r="F456" s="312"/>
      <c r="G456" s="312"/>
      <c r="H456" s="312"/>
      <c r="I456" s="312"/>
      <c r="J456" s="312"/>
      <c r="K456" s="312"/>
    </row>
    <row r="457" customFormat="false" ht="15" hidden="true" customHeight="false" outlineLevel="0" collapsed="false">
      <c r="A457" s="312"/>
      <c r="B457" s="312"/>
      <c r="C457" s="312"/>
      <c r="D457" s="312"/>
      <c r="E457" s="312"/>
      <c r="F457" s="312"/>
      <c r="G457" s="312"/>
      <c r="H457" s="312"/>
      <c r="I457" s="312"/>
      <c r="J457" s="312"/>
      <c r="K457" s="312"/>
    </row>
    <row r="458" customFormat="false" ht="15" hidden="true" customHeight="false" outlineLevel="0" collapsed="false">
      <c r="A458" s="312"/>
      <c r="B458" s="312"/>
      <c r="C458" s="312"/>
      <c r="D458" s="312"/>
      <c r="E458" s="312"/>
      <c r="F458" s="312"/>
      <c r="G458" s="312"/>
      <c r="H458" s="312"/>
      <c r="I458" s="312"/>
      <c r="J458" s="312"/>
      <c r="K458" s="312"/>
    </row>
    <row r="459" customFormat="false" ht="15" hidden="true" customHeight="false" outlineLevel="0" collapsed="false">
      <c r="A459" s="312"/>
      <c r="B459" s="312"/>
      <c r="C459" s="312"/>
      <c r="D459" s="312"/>
      <c r="E459" s="312"/>
      <c r="F459" s="312"/>
      <c r="G459" s="312"/>
      <c r="H459" s="312"/>
      <c r="I459" s="312"/>
      <c r="J459" s="312"/>
      <c r="K459" s="312"/>
    </row>
    <row r="460" customFormat="false" ht="15" hidden="true" customHeight="false" outlineLevel="0" collapsed="false">
      <c r="A460" s="312"/>
      <c r="B460" s="312"/>
      <c r="C460" s="312"/>
      <c r="D460" s="312"/>
      <c r="E460" s="312"/>
      <c r="F460" s="312"/>
      <c r="G460" s="312"/>
      <c r="H460" s="312"/>
      <c r="I460" s="312"/>
      <c r="J460" s="312"/>
      <c r="K460" s="312"/>
    </row>
    <row r="461" customFormat="false" ht="15" hidden="true" customHeight="false" outlineLevel="0" collapsed="false">
      <c r="A461" s="312"/>
      <c r="B461" s="312"/>
      <c r="C461" s="312"/>
      <c r="D461" s="312"/>
      <c r="E461" s="312"/>
      <c r="F461" s="312"/>
      <c r="G461" s="312"/>
      <c r="H461" s="312"/>
      <c r="I461" s="312"/>
      <c r="J461" s="312"/>
      <c r="K461" s="312"/>
    </row>
    <row r="462" customFormat="false" ht="15" hidden="true" customHeight="false" outlineLevel="0" collapsed="false">
      <c r="A462" s="312"/>
      <c r="B462" s="312"/>
      <c r="C462" s="312"/>
      <c r="D462" s="312"/>
      <c r="E462" s="312"/>
      <c r="F462" s="312"/>
      <c r="G462" s="312"/>
      <c r="H462" s="312"/>
      <c r="I462" s="312"/>
      <c r="J462" s="312"/>
      <c r="K462" s="312"/>
    </row>
    <row r="463" customFormat="false" ht="15" hidden="true" customHeight="false" outlineLevel="0" collapsed="false">
      <c r="A463" s="312"/>
      <c r="B463" s="312"/>
      <c r="C463" s="312"/>
      <c r="D463" s="312"/>
      <c r="E463" s="312"/>
      <c r="F463" s="312"/>
      <c r="G463" s="312"/>
      <c r="H463" s="312"/>
      <c r="I463" s="312"/>
      <c r="J463" s="312"/>
      <c r="K463" s="312"/>
    </row>
    <row r="464" customFormat="false" ht="15" hidden="true" customHeight="false" outlineLevel="0" collapsed="false">
      <c r="A464" s="312"/>
      <c r="B464" s="312"/>
      <c r="C464" s="312"/>
      <c r="D464" s="312"/>
      <c r="E464" s="312"/>
      <c r="F464" s="312"/>
      <c r="G464" s="312"/>
      <c r="H464" s="312"/>
      <c r="I464" s="312"/>
      <c r="J464" s="312"/>
      <c r="K464" s="312"/>
    </row>
    <row r="465" customFormat="false" ht="15" hidden="true" customHeight="false" outlineLevel="0" collapsed="false">
      <c r="A465" s="312"/>
      <c r="B465" s="312"/>
      <c r="C465" s="312"/>
      <c r="D465" s="312"/>
      <c r="E465" s="312"/>
      <c r="F465" s="312"/>
      <c r="G465" s="312"/>
      <c r="H465" s="312"/>
      <c r="I465" s="312"/>
      <c r="J465" s="312"/>
      <c r="K465" s="312"/>
    </row>
    <row r="466" customFormat="false" ht="15" hidden="true" customHeight="false" outlineLevel="0" collapsed="false">
      <c r="A466" s="312"/>
      <c r="B466" s="312"/>
      <c r="C466" s="312"/>
      <c r="D466" s="312"/>
      <c r="E466" s="312"/>
      <c r="F466" s="312"/>
      <c r="G466" s="312"/>
      <c r="H466" s="312"/>
      <c r="I466" s="312"/>
      <c r="J466" s="312"/>
      <c r="K466" s="312"/>
    </row>
    <row r="467" customFormat="false" ht="15" hidden="true" customHeight="false" outlineLevel="0" collapsed="false">
      <c r="A467" s="312"/>
      <c r="B467" s="312"/>
      <c r="C467" s="312"/>
      <c r="D467" s="312"/>
      <c r="E467" s="312"/>
      <c r="F467" s="312"/>
      <c r="G467" s="312"/>
      <c r="H467" s="312"/>
      <c r="I467" s="312"/>
      <c r="J467" s="312"/>
      <c r="K467" s="312"/>
    </row>
    <row r="468" customFormat="false" ht="15" hidden="true" customHeight="false" outlineLevel="0" collapsed="false">
      <c r="A468" s="312"/>
      <c r="B468" s="312"/>
      <c r="C468" s="312"/>
      <c r="D468" s="312"/>
      <c r="E468" s="312"/>
      <c r="F468" s="312"/>
      <c r="G468" s="312"/>
      <c r="H468" s="312"/>
      <c r="I468" s="312"/>
      <c r="J468" s="312"/>
      <c r="K468" s="312"/>
    </row>
    <row r="469" customFormat="false" ht="15" hidden="true" customHeight="false" outlineLevel="0" collapsed="false">
      <c r="A469" s="312"/>
      <c r="B469" s="312"/>
      <c r="C469" s="312"/>
      <c r="D469" s="312"/>
      <c r="E469" s="312"/>
      <c r="F469" s="312"/>
      <c r="G469" s="312"/>
      <c r="H469" s="312"/>
      <c r="I469" s="312"/>
      <c r="J469" s="312"/>
      <c r="K469" s="312"/>
    </row>
    <row r="470" customFormat="false" ht="15" hidden="true" customHeight="false" outlineLevel="0" collapsed="false">
      <c r="A470" s="312"/>
      <c r="B470" s="312"/>
      <c r="C470" s="312"/>
      <c r="D470" s="312"/>
      <c r="E470" s="312"/>
      <c r="F470" s="312"/>
      <c r="G470" s="312"/>
      <c r="H470" s="312"/>
      <c r="I470" s="312"/>
      <c r="J470" s="312"/>
      <c r="K470" s="312"/>
    </row>
    <row r="471" customFormat="false" ht="15" hidden="true" customHeight="false" outlineLevel="0" collapsed="false">
      <c r="A471" s="312"/>
      <c r="B471" s="312"/>
      <c r="C471" s="312"/>
      <c r="D471" s="312"/>
      <c r="E471" s="312"/>
      <c r="F471" s="312"/>
      <c r="G471" s="312"/>
      <c r="H471" s="312"/>
      <c r="I471" s="312"/>
      <c r="J471" s="312"/>
      <c r="K471" s="312"/>
    </row>
    <row r="472" customFormat="false" ht="15" hidden="true" customHeight="false" outlineLevel="0" collapsed="false">
      <c r="A472" s="312"/>
      <c r="B472" s="312"/>
      <c r="C472" s="312"/>
      <c r="D472" s="312"/>
      <c r="E472" s="312"/>
      <c r="F472" s="312"/>
      <c r="G472" s="312"/>
      <c r="H472" s="312"/>
      <c r="I472" s="312"/>
      <c r="J472" s="312"/>
      <c r="K472" s="312"/>
    </row>
    <row r="473" customFormat="false" ht="15" hidden="true" customHeight="false" outlineLevel="0" collapsed="false">
      <c r="A473" s="312"/>
      <c r="B473" s="312"/>
      <c r="C473" s="312"/>
      <c r="D473" s="312"/>
      <c r="E473" s="312"/>
      <c r="F473" s="312"/>
      <c r="G473" s="312"/>
      <c r="H473" s="312"/>
      <c r="I473" s="312"/>
      <c r="J473" s="312"/>
      <c r="K473" s="312"/>
    </row>
    <row r="474" customFormat="false" ht="15" hidden="true" customHeight="false" outlineLevel="0" collapsed="false">
      <c r="A474" s="312"/>
      <c r="B474" s="312"/>
      <c r="C474" s="312"/>
      <c r="D474" s="312"/>
      <c r="E474" s="312"/>
      <c r="F474" s="312"/>
      <c r="G474" s="312"/>
      <c r="H474" s="312"/>
      <c r="I474" s="312"/>
      <c r="J474" s="312"/>
      <c r="K474" s="312"/>
    </row>
    <row r="475" customFormat="false" ht="15" hidden="true" customHeight="false" outlineLevel="0" collapsed="false">
      <c r="A475" s="312"/>
      <c r="B475" s="312"/>
      <c r="C475" s="312"/>
      <c r="D475" s="312"/>
      <c r="E475" s="312"/>
      <c r="F475" s="312"/>
      <c r="G475" s="312"/>
      <c r="H475" s="312"/>
      <c r="I475" s="312"/>
      <c r="J475" s="312"/>
      <c r="K475" s="312"/>
    </row>
    <row r="476" customFormat="false" ht="15" hidden="true" customHeight="false" outlineLevel="0" collapsed="false">
      <c r="A476" s="312"/>
      <c r="B476" s="312"/>
      <c r="C476" s="312"/>
      <c r="D476" s="312"/>
      <c r="E476" s="312"/>
      <c r="F476" s="312"/>
      <c r="G476" s="312"/>
      <c r="H476" s="312"/>
      <c r="I476" s="312"/>
      <c r="J476" s="312"/>
      <c r="K476" s="312"/>
    </row>
    <row r="477" customFormat="false" ht="15" hidden="true" customHeight="false" outlineLevel="0" collapsed="false">
      <c r="A477" s="312"/>
      <c r="B477" s="312"/>
      <c r="C477" s="312"/>
      <c r="D477" s="312"/>
      <c r="E477" s="312"/>
      <c r="F477" s="312"/>
      <c r="G477" s="312"/>
      <c r="H477" s="312"/>
      <c r="I477" s="312"/>
      <c r="J477" s="312"/>
      <c r="K477" s="312"/>
    </row>
    <row r="478" customFormat="false" ht="15" hidden="true" customHeight="false" outlineLevel="0" collapsed="false">
      <c r="A478" s="312"/>
      <c r="B478" s="312"/>
      <c r="C478" s="312"/>
      <c r="D478" s="312"/>
      <c r="E478" s="312"/>
      <c r="F478" s="312"/>
      <c r="G478" s="312"/>
      <c r="H478" s="312"/>
      <c r="I478" s="312"/>
      <c r="J478" s="312"/>
      <c r="K478" s="312"/>
    </row>
    <row r="479" customFormat="false" ht="15" hidden="true" customHeight="false" outlineLevel="0" collapsed="false">
      <c r="A479" s="312"/>
      <c r="B479" s="312"/>
      <c r="C479" s="312"/>
      <c r="D479" s="312"/>
      <c r="E479" s="312"/>
      <c r="F479" s="312"/>
      <c r="G479" s="312"/>
      <c r="H479" s="312"/>
      <c r="I479" s="312"/>
      <c r="J479" s="312"/>
      <c r="K479" s="312"/>
    </row>
    <row r="480" customFormat="false" ht="15" hidden="true" customHeight="false" outlineLevel="0" collapsed="false">
      <c r="A480" s="312"/>
      <c r="B480" s="312"/>
      <c r="C480" s="312"/>
      <c r="D480" s="312"/>
      <c r="E480" s="312"/>
      <c r="F480" s="312"/>
      <c r="G480" s="312"/>
      <c r="H480" s="312"/>
      <c r="I480" s="312"/>
      <c r="J480" s="312"/>
      <c r="K480" s="312"/>
    </row>
    <row r="481" customFormat="false" ht="15" hidden="true" customHeight="false" outlineLevel="0" collapsed="false">
      <c r="A481" s="312"/>
      <c r="B481" s="312"/>
      <c r="C481" s="312"/>
      <c r="D481" s="312"/>
      <c r="E481" s="312"/>
      <c r="F481" s="312"/>
      <c r="G481" s="312"/>
      <c r="H481" s="312"/>
      <c r="I481" s="312"/>
      <c r="J481" s="312"/>
      <c r="K481" s="312"/>
    </row>
    <row r="482" customFormat="false" ht="15" hidden="true" customHeight="false" outlineLevel="0" collapsed="false">
      <c r="A482" s="312"/>
      <c r="B482" s="312"/>
      <c r="C482" s="312"/>
      <c r="D482" s="312"/>
      <c r="E482" s="312"/>
      <c r="F482" s="312"/>
      <c r="G482" s="312"/>
      <c r="H482" s="312"/>
      <c r="I482" s="312"/>
      <c r="J482" s="312"/>
      <c r="K482" s="312"/>
    </row>
    <row r="483" customFormat="false" ht="15" hidden="true" customHeight="false" outlineLevel="0" collapsed="false">
      <c r="A483" s="312"/>
      <c r="B483" s="312"/>
      <c r="C483" s="312"/>
      <c r="D483" s="312"/>
      <c r="E483" s="312"/>
      <c r="F483" s="312"/>
      <c r="G483" s="312"/>
      <c r="H483" s="312"/>
      <c r="I483" s="312"/>
      <c r="J483" s="312"/>
      <c r="K483" s="312"/>
    </row>
    <row r="484" customFormat="false" ht="15" hidden="true" customHeight="false" outlineLevel="0" collapsed="false">
      <c r="A484" s="312"/>
      <c r="B484" s="312"/>
      <c r="C484" s="312"/>
      <c r="D484" s="312"/>
      <c r="E484" s="312"/>
      <c r="F484" s="312"/>
      <c r="G484" s="312"/>
      <c r="H484" s="312"/>
      <c r="I484" s="312"/>
      <c r="J484" s="312"/>
      <c r="K484" s="312"/>
    </row>
    <row r="485" customFormat="false" ht="15" hidden="true" customHeight="false" outlineLevel="0" collapsed="false">
      <c r="A485" s="312"/>
      <c r="B485" s="312"/>
      <c r="C485" s="312"/>
      <c r="D485" s="312"/>
      <c r="E485" s="312"/>
      <c r="F485" s="312"/>
      <c r="G485" s="312"/>
      <c r="H485" s="312"/>
      <c r="I485" s="312"/>
      <c r="J485" s="312"/>
      <c r="K485" s="312"/>
    </row>
    <row r="486" customFormat="false" ht="15" hidden="true" customHeight="false" outlineLevel="0" collapsed="false">
      <c r="A486" s="312"/>
      <c r="B486" s="312"/>
      <c r="C486" s="312"/>
      <c r="D486" s="312"/>
      <c r="E486" s="312"/>
      <c r="F486" s="312"/>
      <c r="G486" s="312"/>
      <c r="H486" s="312"/>
      <c r="I486" s="312"/>
      <c r="J486" s="312"/>
      <c r="K486" s="312"/>
    </row>
    <row r="487" customFormat="false" ht="15" hidden="true" customHeight="false" outlineLevel="0" collapsed="false">
      <c r="A487" s="312"/>
      <c r="B487" s="312"/>
      <c r="C487" s="312"/>
      <c r="D487" s="312"/>
      <c r="E487" s="312"/>
      <c r="F487" s="312"/>
      <c r="G487" s="312"/>
      <c r="H487" s="312"/>
      <c r="I487" s="312"/>
      <c r="J487" s="312"/>
      <c r="K487" s="312"/>
    </row>
    <row r="488" customFormat="false" ht="15" hidden="true" customHeight="false" outlineLevel="0" collapsed="false">
      <c r="A488" s="312"/>
      <c r="B488" s="312"/>
      <c r="C488" s="312"/>
      <c r="D488" s="312"/>
      <c r="E488" s="312"/>
      <c r="F488" s="312"/>
      <c r="G488" s="312"/>
      <c r="H488" s="312"/>
      <c r="I488" s="312"/>
      <c r="J488" s="312"/>
      <c r="K488" s="312"/>
    </row>
    <row r="489" customFormat="false" ht="15" hidden="true" customHeight="false" outlineLevel="0" collapsed="false">
      <c r="A489" s="312"/>
      <c r="B489" s="312"/>
      <c r="C489" s="312"/>
      <c r="D489" s="312"/>
      <c r="E489" s="312"/>
      <c r="F489" s="312"/>
      <c r="G489" s="312"/>
      <c r="H489" s="312"/>
      <c r="I489" s="312"/>
      <c r="J489" s="312"/>
      <c r="K489" s="312"/>
    </row>
    <row r="490" customFormat="false" ht="15" hidden="true" customHeight="false" outlineLevel="0" collapsed="false">
      <c r="A490" s="312"/>
      <c r="B490" s="312"/>
      <c r="C490" s="312"/>
      <c r="D490" s="312"/>
      <c r="E490" s="312"/>
      <c r="F490" s="312"/>
      <c r="G490" s="312"/>
      <c r="H490" s="312"/>
      <c r="I490" s="312"/>
      <c r="J490" s="312"/>
      <c r="K490" s="312"/>
    </row>
    <row r="491" customFormat="false" ht="15" hidden="true" customHeight="false" outlineLevel="0" collapsed="false">
      <c r="A491" s="312"/>
      <c r="B491" s="312"/>
      <c r="C491" s="312"/>
      <c r="D491" s="312"/>
      <c r="E491" s="312"/>
      <c r="F491" s="312"/>
      <c r="G491" s="312"/>
      <c r="H491" s="312"/>
      <c r="I491" s="312"/>
      <c r="J491" s="312"/>
      <c r="K491" s="312"/>
    </row>
    <row r="492" customFormat="false" ht="15" hidden="true" customHeight="false" outlineLevel="0" collapsed="false">
      <c r="A492" s="312"/>
      <c r="B492" s="312"/>
      <c r="C492" s="312"/>
      <c r="D492" s="312"/>
      <c r="E492" s="312"/>
      <c r="F492" s="312"/>
      <c r="G492" s="312"/>
      <c r="H492" s="312"/>
      <c r="I492" s="312"/>
      <c r="J492" s="312"/>
      <c r="K492" s="312"/>
    </row>
    <row r="493" customFormat="false" ht="15" hidden="true" customHeight="false" outlineLevel="0" collapsed="false">
      <c r="A493" s="312"/>
      <c r="B493" s="312"/>
      <c r="C493" s="312"/>
      <c r="D493" s="312"/>
      <c r="E493" s="312"/>
      <c r="F493" s="312"/>
      <c r="G493" s="312"/>
      <c r="H493" s="312"/>
      <c r="I493" s="312"/>
      <c r="J493" s="312"/>
      <c r="K493" s="312"/>
    </row>
    <row r="494" customFormat="false" ht="15" hidden="true" customHeight="false" outlineLevel="0" collapsed="false">
      <c r="A494" s="312"/>
      <c r="B494" s="312"/>
      <c r="C494" s="312"/>
      <c r="D494" s="312"/>
      <c r="E494" s="312"/>
      <c r="F494" s="312"/>
      <c r="G494" s="312"/>
      <c r="H494" s="312"/>
      <c r="I494" s="312"/>
      <c r="J494" s="312"/>
      <c r="K494" s="312"/>
    </row>
    <row r="495" customFormat="false" ht="15" hidden="true" customHeight="false" outlineLevel="0" collapsed="false">
      <c r="A495" s="312"/>
      <c r="B495" s="312"/>
      <c r="C495" s="312"/>
      <c r="D495" s="312"/>
      <c r="E495" s="312"/>
      <c r="F495" s="312"/>
      <c r="G495" s="312"/>
      <c r="H495" s="312"/>
      <c r="I495" s="312"/>
      <c r="J495" s="312"/>
      <c r="K495" s="312"/>
    </row>
    <row r="496" customFormat="false" ht="15" hidden="true" customHeight="false" outlineLevel="0" collapsed="false">
      <c r="A496" s="312"/>
      <c r="B496" s="312"/>
      <c r="C496" s="312"/>
      <c r="D496" s="312"/>
      <c r="E496" s="312"/>
      <c r="F496" s="312"/>
      <c r="G496" s="312"/>
      <c r="H496" s="312"/>
      <c r="I496" s="312"/>
      <c r="J496" s="312"/>
      <c r="K496" s="312"/>
    </row>
    <row r="497" customFormat="false" ht="15" hidden="true" customHeight="false" outlineLevel="0" collapsed="false">
      <c r="A497" s="312"/>
      <c r="B497" s="312"/>
      <c r="C497" s="312"/>
      <c r="D497" s="312"/>
      <c r="E497" s="312"/>
      <c r="F497" s="312"/>
      <c r="G497" s="312"/>
      <c r="H497" s="312"/>
      <c r="I497" s="312"/>
      <c r="J497" s="312"/>
      <c r="K497" s="312"/>
    </row>
    <row r="498" customFormat="false" ht="15" hidden="true" customHeight="false" outlineLevel="0" collapsed="false">
      <c r="A498" s="312"/>
      <c r="B498" s="312"/>
      <c r="C498" s="312"/>
      <c r="D498" s="312"/>
      <c r="E498" s="312"/>
      <c r="F498" s="312"/>
      <c r="G498" s="312"/>
      <c r="H498" s="312"/>
      <c r="I498" s="312"/>
      <c r="J498" s="312"/>
      <c r="K498" s="312"/>
    </row>
    <row r="499" customFormat="false" ht="15" hidden="true" customHeight="false" outlineLevel="0" collapsed="false">
      <c r="A499" s="312"/>
      <c r="B499" s="312"/>
      <c r="C499" s="312"/>
      <c r="D499" s="312"/>
      <c r="E499" s="312"/>
      <c r="F499" s="312"/>
      <c r="G499" s="312"/>
      <c r="H499" s="312"/>
      <c r="I499" s="312"/>
      <c r="J499" s="312"/>
      <c r="K499" s="312"/>
    </row>
    <row r="500" customFormat="false" ht="15" hidden="true" customHeight="false" outlineLevel="0" collapsed="false">
      <c r="A500" s="312"/>
      <c r="B500" s="312"/>
      <c r="C500" s="312"/>
      <c r="D500" s="312"/>
      <c r="E500" s="312"/>
      <c r="F500" s="312"/>
      <c r="G500" s="312"/>
      <c r="H500" s="312"/>
      <c r="I500" s="312"/>
      <c r="J500" s="312"/>
      <c r="K500" s="312"/>
    </row>
    <row r="501" customFormat="false" ht="15" hidden="true" customHeight="false" outlineLevel="0" collapsed="false">
      <c r="A501" s="312"/>
      <c r="B501" s="312"/>
      <c r="C501" s="312"/>
      <c r="D501" s="312"/>
      <c r="E501" s="312"/>
      <c r="F501" s="312"/>
      <c r="G501" s="312"/>
      <c r="H501" s="312"/>
      <c r="I501" s="312"/>
      <c r="J501" s="312"/>
      <c r="K501" s="312"/>
    </row>
    <row r="502" customFormat="false" ht="15" hidden="true" customHeight="false" outlineLevel="0" collapsed="false">
      <c r="A502" s="312"/>
      <c r="B502" s="312"/>
      <c r="C502" s="312"/>
      <c r="D502" s="312"/>
      <c r="E502" s="312"/>
      <c r="F502" s="312"/>
      <c r="G502" s="312"/>
      <c r="H502" s="312"/>
      <c r="I502" s="312"/>
      <c r="J502" s="312"/>
      <c r="K502" s="312"/>
    </row>
    <row r="503" customFormat="false" ht="15" hidden="true" customHeight="false" outlineLevel="0" collapsed="false">
      <c r="A503" s="312"/>
      <c r="B503" s="312"/>
      <c r="C503" s="312"/>
      <c r="D503" s="312"/>
      <c r="E503" s="312"/>
      <c r="F503" s="312"/>
      <c r="G503" s="312"/>
      <c r="H503" s="312"/>
      <c r="I503" s="312"/>
      <c r="J503" s="312"/>
      <c r="K503" s="312"/>
    </row>
    <row r="504" customFormat="false" ht="15" hidden="true" customHeight="false" outlineLevel="0" collapsed="false">
      <c r="A504" s="312"/>
      <c r="B504" s="312"/>
      <c r="C504" s="312"/>
      <c r="D504" s="312"/>
      <c r="E504" s="312"/>
      <c r="F504" s="312"/>
      <c r="G504" s="312"/>
      <c r="H504" s="312"/>
      <c r="I504" s="312"/>
      <c r="J504" s="312"/>
      <c r="K504" s="312"/>
    </row>
    <row r="505" customFormat="false" ht="15" hidden="true" customHeight="false" outlineLevel="0" collapsed="false">
      <c r="A505" s="312"/>
      <c r="B505" s="312"/>
      <c r="C505" s="312"/>
      <c r="D505" s="312"/>
      <c r="E505" s="312"/>
      <c r="F505" s="312"/>
      <c r="G505" s="312"/>
      <c r="H505" s="312"/>
      <c r="I505" s="312"/>
      <c r="J505" s="312"/>
      <c r="K505" s="312"/>
    </row>
    <row r="506" customFormat="false" ht="15" hidden="true" customHeight="false" outlineLevel="0" collapsed="false">
      <c r="A506" s="312"/>
      <c r="B506" s="312"/>
      <c r="C506" s="312"/>
      <c r="D506" s="312"/>
      <c r="E506" s="312"/>
      <c r="F506" s="312"/>
      <c r="G506" s="312"/>
      <c r="H506" s="312"/>
      <c r="I506" s="312"/>
      <c r="J506" s="312"/>
      <c r="K506" s="312"/>
    </row>
    <row r="507" customFormat="false" ht="15" hidden="true" customHeight="false" outlineLevel="0" collapsed="false">
      <c r="A507" s="312"/>
      <c r="B507" s="312"/>
      <c r="C507" s="312"/>
      <c r="D507" s="312"/>
      <c r="E507" s="312"/>
      <c r="F507" s="312"/>
      <c r="G507" s="312"/>
      <c r="H507" s="312"/>
      <c r="I507" s="312"/>
      <c r="J507" s="312"/>
      <c r="K507" s="312"/>
    </row>
    <row r="508" customFormat="false" ht="15" hidden="true" customHeight="false" outlineLevel="0" collapsed="false">
      <c r="A508" s="312"/>
      <c r="B508" s="312"/>
      <c r="C508" s="312"/>
      <c r="D508" s="312"/>
      <c r="E508" s="312"/>
      <c r="F508" s="312"/>
      <c r="G508" s="312"/>
      <c r="H508" s="312"/>
      <c r="I508" s="312"/>
      <c r="J508" s="312"/>
      <c r="K508" s="312"/>
    </row>
    <row r="509" customFormat="false" ht="15" hidden="true" customHeight="false" outlineLevel="0" collapsed="false">
      <c r="A509" s="312"/>
      <c r="B509" s="312"/>
      <c r="C509" s="312"/>
      <c r="D509" s="312"/>
      <c r="E509" s="312"/>
      <c r="F509" s="312"/>
      <c r="G509" s="312"/>
      <c r="H509" s="312"/>
      <c r="I509" s="312"/>
      <c r="J509" s="312"/>
      <c r="K509" s="312"/>
    </row>
    <row r="510" customFormat="false" ht="15" hidden="true" customHeight="false" outlineLevel="0" collapsed="false">
      <c r="A510" s="312"/>
      <c r="B510" s="312"/>
      <c r="C510" s="312"/>
      <c r="D510" s="312"/>
      <c r="E510" s="312"/>
      <c r="F510" s="312"/>
      <c r="G510" s="312"/>
      <c r="H510" s="312"/>
      <c r="I510" s="312"/>
      <c r="J510" s="312"/>
      <c r="K510" s="312"/>
    </row>
    <row r="511" customFormat="false" ht="15" hidden="true" customHeight="false" outlineLevel="0" collapsed="false">
      <c r="A511" s="312"/>
      <c r="B511" s="312"/>
      <c r="C511" s="312"/>
      <c r="D511" s="312"/>
      <c r="E511" s="312"/>
      <c r="F511" s="312"/>
      <c r="G511" s="312"/>
      <c r="H511" s="312"/>
      <c r="I511" s="312"/>
      <c r="J511" s="312"/>
      <c r="K511" s="312"/>
    </row>
    <row r="512" customFormat="false" ht="15" hidden="true" customHeight="false" outlineLevel="0" collapsed="false">
      <c r="A512" s="312"/>
      <c r="B512" s="312"/>
      <c r="C512" s="312"/>
      <c r="D512" s="312"/>
      <c r="E512" s="312"/>
      <c r="F512" s="312"/>
      <c r="G512" s="312"/>
      <c r="H512" s="312"/>
      <c r="I512" s="312"/>
      <c r="J512" s="312"/>
      <c r="K512" s="312"/>
    </row>
    <row r="513" customFormat="false" ht="15" hidden="true" customHeight="false" outlineLevel="0" collapsed="false">
      <c r="A513" s="312"/>
      <c r="B513" s="312"/>
      <c r="C513" s="312"/>
      <c r="D513" s="312"/>
      <c r="E513" s="312"/>
      <c r="F513" s="312"/>
      <c r="G513" s="312"/>
      <c r="H513" s="312"/>
      <c r="I513" s="312"/>
      <c r="J513" s="312"/>
      <c r="K513" s="312"/>
    </row>
    <row r="514" customFormat="false" ht="15" hidden="true" customHeight="false" outlineLevel="0" collapsed="false">
      <c r="A514" s="312"/>
      <c r="B514" s="312"/>
      <c r="C514" s="312"/>
      <c r="D514" s="312"/>
      <c r="E514" s="312"/>
      <c r="F514" s="312"/>
      <c r="G514" s="312"/>
      <c r="H514" s="312"/>
      <c r="I514" s="312"/>
      <c r="J514" s="312"/>
      <c r="K514" s="312"/>
    </row>
    <row r="515" customFormat="false" ht="15" hidden="true" customHeight="false" outlineLevel="0" collapsed="false">
      <c r="A515" s="312"/>
      <c r="B515" s="312"/>
      <c r="C515" s="312"/>
      <c r="D515" s="312"/>
      <c r="E515" s="312"/>
      <c r="F515" s="312"/>
      <c r="G515" s="312"/>
      <c r="H515" s="312"/>
      <c r="I515" s="312"/>
      <c r="J515" s="312"/>
      <c r="K515" s="312"/>
    </row>
    <row r="516" customFormat="false" ht="15" hidden="true" customHeight="false" outlineLevel="0" collapsed="false">
      <c r="A516" s="312"/>
      <c r="B516" s="312"/>
      <c r="C516" s="312"/>
      <c r="D516" s="312"/>
      <c r="E516" s="312"/>
      <c r="F516" s="312"/>
      <c r="G516" s="312"/>
      <c r="H516" s="312"/>
      <c r="I516" s="312"/>
      <c r="J516" s="312"/>
      <c r="K516" s="312"/>
    </row>
    <row r="517" customFormat="false" ht="15" hidden="true" customHeight="false" outlineLevel="0" collapsed="false">
      <c r="A517" s="312"/>
      <c r="B517" s="312"/>
      <c r="C517" s="312"/>
      <c r="D517" s="312"/>
      <c r="E517" s="312"/>
      <c r="F517" s="312"/>
      <c r="G517" s="312"/>
      <c r="H517" s="312"/>
      <c r="I517" s="312"/>
      <c r="J517" s="312"/>
      <c r="K517" s="312"/>
    </row>
    <row r="518" customFormat="false" ht="15" hidden="true" customHeight="false" outlineLevel="0" collapsed="false">
      <c r="A518" s="312"/>
      <c r="B518" s="312"/>
      <c r="C518" s="312"/>
      <c r="D518" s="312"/>
      <c r="E518" s="312"/>
      <c r="F518" s="312"/>
      <c r="G518" s="312"/>
      <c r="H518" s="312"/>
      <c r="I518" s="312"/>
      <c r="J518" s="312"/>
      <c r="K518" s="312"/>
    </row>
    <row r="519" customFormat="false" ht="15" hidden="true" customHeight="false" outlineLevel="0" collapsed="false">
      <c r="A519" s="312"/>
      <c r="B519" s="312"/>
      <c r="C519" s="312"/>
      <c r="D519" s="312"/>
      <c r="E519" s="312"/>
      <c r="F519" s="312"/>
      <c r="G519" s="312"/>
      <c r="H519" s="312"/>
      <c r="I519" s="312"/>
      <c r="J519" s="312"/>
      <c r="K519" s="312"/>
    </row>
    <row r="520" customFormat="false" ht="15" hidden="true" customHeight="false" outlineLevel="0" collapsed="false">
      <c r="A520" s="312"/>
      <c r="B520" s="312"/>
      <c r="C520" s="312"/>
      <c r="D520" s="312"/>
      <c r="E520" s="312"/>
      <c r="F520" s="312"/>
      <c r="G520" s="312"/>
      <c r="H520" s="312"/>
      <c r="I520" s="312"/>
      <c r="J520" s="312"/>
      <c r="K520" s="312"/>
    </row>
    <row r="521" customFormat="false" ht="15" hidden="true" customHeight="false" outlineLevel="0" collapsed="false">
      <c r="A521" s="312"/>
      <c r="B521" s="312"/>
      <c r="C521" s="312"/>
      <c r="D521" s="312"/>
      <c r="E521" s="312"/>
      <c r="F521" s="312"/>
      <c r="G521" s="312"/>
      <c r="H521" s="312"/>
      <c r="I521" s="312"/>
      <c r="J521" s="312"/>
      <c r="K521" s="312"/>
    </row>
    <row r="522" customFormat="false" ht="15" hidden="true" customHeight="false" outlineLevel="0" collapsed="false">
      <c r="A522" s="312"/>
      <c r="B522" s="312"/>
      <c r="C522" s="312"/>
      <c r="D522" s="312"/>
      <c r="E522" s="312"/>
      <c r="F522" s="312"/>
      <c r="G522" s="312"/>
      <c r="H522" s="312"/>
      <c r="I522" s="312"/>
      <c r="J522" s="312"/>
      <c r="K522" s="312"/>
    </row>
    <row r="523" customFormat="false" ht="15" hidden="true" customHeight="false" outlineLevel="0" collapsed="false">
      <c r="A523" s="312"/>
      <c r="B523" s="312"/>
      <c r="C523" s="312"/>
      <c r="D523" s="312"/>
      <c r="E523" s="312"/>
      <c r="F523" s="312"/>
      <c r="G523" s="312"/>
      <c r="H523" s="312"/>
      <c r="I523" s="312"/>
      <c r="J523" s="312"/>
      <c r="K523" s="312"/>
    </row>
    <row r="524" customFormat="false" ht="15" hidden="true" customHeight="false" outlineLevel="0" collapsed="false">
      <c r="A524" s="312"/>
      <c r="B524" s="312"/>
      <c r="C524" s="312"/>
      <c r="D524" s="312"/>
      <c r="E524" s="312"/>
      <c r="F524" s="312"/>
      <c r="G524" s="312"/>
      <c r="H524" s="312"/>
      <c r="I524" s="312"/>
      <c r="J524" s="312"/>
      <c r="K524" s="312"/>
    </row>
    <row r="525" customFormat="false" ht="15" hidden="true" customHeight="false" outlineLevel="0" collapsed="false">
      <c r="A525" s="312"/>
      <c r="B525" s="312"/>
      <c r="C525" s="312"/>
      <c r="D525" s="312"/>
      <c r="E525" s="312"/>
      <c r="F525" s="312"/>
      <c r="G525" s="312"/>
      <c r="H525" s="312"/>
      <c r="I525" s="312"/>
      <c r="J525" s="312"/>
      <c r="K525" s="312"/>
    </row>
    <row r="526" customFormat="false" ht="15" hidden="true" customHeight="false" outlineLevel="0" collapsed="false">
      <c r="A526" s="312"/>
      <c r="B526" s="312"/>
      <c r="C526" s="312"/>
      <c r="D526" s="312"/>
      <c r="E526" s="312"/>
      <c r="F526" s="312"/>
      <c r="G526" s="312"/>
      <c r="H526" s="312"/>
      <c r="I526" s="312"/>
      <c r="J526" s="312"/>
      <c r="K526" s="312"/>
    </row>
    <row r="527" customFormat="false" ht="15" hidden="true" customHeight="false" outlineLevel="0" collapsed="false">
      <c r="A527" s="312"/>
      <c r="B527" s="312"/>
      <c r="C527" s="312"/>
      <c r="D527" s="312"/>
      <c r="E527" s="312"/>
      <c r="F527" s="312"/>
      <c r="G527" s="312"/>
      <c r="H527" s="312"/>
      <c r="I527" s="312"/>
      <c r="J527" s="312"/>
      <c r="K527" s="312"/>
    </row>
    <row r="528" customFormat="false" ht="15" hidden="true" customHeight="false" outlineLevel="0" collapsed="false">
      <c r="A528" s="312"/>
      <c r="B528" s="312"/>
      <c r="C528" s="312"/>
      <c r="D528" s="312"/>
      <c r="E528" s="312"/>
      <c r="F528" s="312"/>
      <c r="G528" s="312"/>
      <c r="H528" s="312"/>
      <c r="I528" s="312"/>
      <c r="J528" s="312"/>
      <c r="K528" s="312"/>
    </row>
    <row r="529" customFormat="false" ht="15" hidden="true" customHeight="false" outlineLevel="0" collapsed="false">
      <c r="A529" s="312"/>
      <c r="B529" s="312"/>
      <c r="C529" s="312"/>
      <c r="D529" s="312"/>
      <c r="E529" s="312"/>
      <c r="F529" s="312"/>
      <c r="G529" s="312"/>
      <c r="H529" s="312"/>
      <c r="I529" s="312"/>
      <c r="J529" s="312"/>
      <c r="K529" s="312"/>
    </row>
    <row r="530" customFormat="false" ht="15" hidden="true" customHeight="false" outlineLevel="0" collapsed="false">
      <c r="A530" s="312"/>
      <c r="B530" s="312"/>
      <c r="C530" s="312"/>
      <c r="D530" s="312"/>
      <c r="E530" s="312"/>
      <c r="F530" s="312"/>
      <c r="G530" s="312"/>
      <c r="H530" s="312"/>
      <c r="I530" s="312"/>
      <c r="J530" s="312"/>
      <c r="K530" s="312"/>
    </row>
    <row r="531" customFormat="false" ht="15" hidden="true" customHeight="false" outlineLevel="0" collapsed="false">
      <c r="A531" s="312"/>
      <c r="B531" s="312"/>
      <c r="C531" s="312"/>
      <c r="D531" s="312"/>
      <c r="E531" s="312"/>
      <c r="F531" s="312"/>
      <c r="G531" s="312"/>
      <c r="H531" s="312"/>
      <c r="I531" s="312"/>
      <c r="J531" s="312"/>
      <c r="K531" s="312"/>
    </row>
    <row r="532" customFormat="false" ht="15" hidden="true" customHeight="false" outlineLevel="0" collapsed="false">
      <c r="A532" s="312"/>
      <c r="B532" s="312"/>
      <c r="C532" s="312"/>
      <c r="D532" s="312"/>
      <c r="E532" s="312"/>
      <c r="F532" s="312"/>
      <c r="G532" s="312"/>
      <c r="H532" s="312"/>
      <c r="I532" s="312"/>
      <c r="J532" s="312"/>
      <c r="K532" s="312"/>
    </row>
    <row r="533" customFormat="false" ht="15" hidden="true" customHeight="false" outlineLevel="0" collapsed="false">
      <c r="A533" s="312"/>
      <c r="B533" s="312"/>
      <c r="C533" s="312"/>
      <c r="D533" s="312"/>
      <c r="E533" s="312"/>
      <c r="F533" s="312"/>
      <c r="G533" s="312"/>
      <c r="H533" s="312"/>
      <c r="I533" s="312"/>
      <c r="J533" s="312"/>
      <c r="K533" s="312"/>
    </row>
    <row r="534" customFormat="false" ht="15" hidden="true" customHeight="false" outlineLevel="0" collapsed="false">
      <c r="A534" s="312"/>
      <c r="B534" s="312"/>
      <c r="C534" s="312"/>
      <c r="D534" s="312"/>
      <c r="E534" s="312"/>
      <c r="F534" s="312"/>
      <c r="G534" s="312"/>
      <c r="H534" s="312"/>
      <c r="I534" s="312"/>
      <c r="J534" s="312"/>
      <c r="K534" s="312"/>
    </row>
    <row r="535" customFormat="false" ht="15" hidden="true" customHeight="false" outlineLevel="0" collapsed="false">
      <c r="A535" s="312"/>
      <c r="B535" s="312"/>
      <c r="C535" s="312"/>
      <c r="D535" s="312"/>
      <c r="E535" s="312"/>
      <c r="F535" s="312"/>
      <c r="G535" s="312"/>
      <c r="H535" s="312"/>
      <c r="I535" s="312"/>
      <c r="J535" s="312"/>
      <c r="K535" s="312"/>
    </row>
    <row r="536" customFormat="false" ht="15" hidden="true" customHeight="false" outlineLevel="0" collapsed="false">
      <c r="A536" s="312"/>
      <c r="B536" s="312"/>
      <c r="C536" s="312"/>
      <c r="D536" s="312"/>
      <c r="E536" s="312"/>
      <c r="F536" s="312"/>
      <c r="G536" s="312"/>
      <c r="H536" s="312"/>
      <c r="I536" s="312"/>
      <c r="J536" s="312"/>
      <c r="K536" s="312"/>
    </row>
    <row r="537" customFormat="false" ht="15" hidden="true" customHeight="false" outlineLevel="0" collapsed="false">
      <c r="A537" s="312"/>
      <c r="B537" s="312"/>
      <c r="C537" s="312"/>
      <c r="D537" s="312"/>
      <c r="E537" s="312"/>
      <c r="F537" s="312"/>
      <c r="G537" s="312"/>
      <c r="H537" s="312"/>
      <c r="I537" s="312"/>
      <c r="J537" s="312"/>
      <c r="K537" s="312"/>
    </row>
    <row r="538" customFormat="false" ht="15" hidden="true" customHeight="false" outlineLevel="0" collapsed="false">
      <c r="A538" s="312"/>
      <c r="B538" s="312"/>
      <c r="C538" s="312"/>
      <c r="D538" s="312"/>
      <c r="E538" s="312"/>
      <c r="F538" s="312"/>
      <c r="G538" s="312"/>
      <c r="H538" s="312"/>
      <c r="I538" s="312"/>
      <c r="J538" s="312"/>
      <c r="K538" s="312"/>
    </row>
    <row r="539" customFormat="false" ht="15" hidden="true" customHeight="false" outlineLevel="0" collapsed="false">
      <c r="A539" s="312"/>
      <c r="B539" s="312"/>
      <c r="C539" s="312"/>
      <c r="D539" s="312"/>
      <c r="E539" s="312"/>
      <c r="F539" s="312"/>
      <c r="G539" s="312"/>
      <c r="H539" s="312"/>
      <c r="I539" s="312"/>
      <c r="J539" s="312"/>
      <c r="K539" s="312"/>
    </row>
    <row r="540" customFormat="false" ht="15" hidden="true" customHeight="false" outlineLevel="0" collapsed="false">
      <c r="A540" s="312"/>
      <c r="B540" s="312"/>
      <c r="C540" s="312"/>
      <c r="D540" s="312"/>
      <c r="E540" s="312"/>
      <c r="F540" s="312"/>
      <c r="G540" s="312"/>
      <c r="H540" s="312"/>
      <c r="I540" s="312"/>
      <c r="J540" s="312"/>
      <c r="K540" s="312"/>
    </row>
    <row r="541" customFormat="false" ht="15" hidden="true" customHeight="false" outlineLevel="0" collapsed="false">
      <c r="A541" s="312"/>
      <c r="B541" s="312"/>
      <c r="C541" s="312"/>
      <c r="D541" s="312"/>
      <c r="E541" s="312"/>
      <c r="F541" s="312"/>
      <c r="G541" s="312"/>
      <c r="H541" s="312"/>
      <c r="I541" s="312"/>
      <c r="J541" s="312"/>
      <c r="K541" s="312"/>
    </row>
    <row r="542" customFormat="false" ht="15" hidden="true" customHeight="false" outlineLevel="0" collapsed="false">
      <c r="A542" s="312"/>
      <c r="B542" s="312"/>
      <c r="C542" s="312"/>
      <c r="D542" s="312"/>
      <c r="E542" s="312"/>
      <c r="F542" s="312"/>
      <c r="G542" s="312"/>
      <c r="H542" s="312"/>
      <c r="I542" s="312"/>
      <c r="J542" s="312"/>
      <c r="K542" s="312"/>
    </row>
    <row r="543" customFormat="false" ht="15" hidden="true" customHeight="false" outlineLevel="0" collapsed="false">
      <c r="A543" s="312"/>
      <c r="B543" s="312"/>
      <c r="C543" s="312"/>
      <c r="D543" s="312"/>
      <c r="E543" s="312"/>
      <c r="F543" s="312"/>
      <c r="G543" s="312"/>
      <c r="H543" s="312"/>
      <c r="I543" s="312"/>
      <c r="J543" s="312"/>
      <c r="K543" s="312"/>
    </row>
    <row r="544" customFormat="false" ht="15" hidden="true" customHeight="false" outlineLevel="0" collapsed="false">
      <c r="A544" s="312"/>
      <c r="B544" s="312"/>
      <c r="C544" s="312"/>
      <c r="D544" s="312"/>
      <c r="E544" s="312"/>
      <c r="F544" s="312"/>
      <c r="G544" s="312"/>
      <c r="H544" s="312"/>
      <c r="I544" s="312"/>
      <c r="J544" s="312"/>
      <c r="K544" s="312"/>
    </row>
    <row r="545" customFormat="false" ht="15" hidden="true" customHeight="false" outlineLevel="0" collapsed="false">
      <c r="A545" s="312"/>
      <c r="B545" s="312"/>
      <c r="C545" s="312"/>
      <c r="D545" s="312"/>
      <c r="E545" s="312"/>
      <c r="F545" s="312"/>
      <c r="G545" s="312"/>
      <c r="H545" s="312"/>
      <c r="I545" s="312"/>
      <c r="J545" s="312"/>
      <c r="K545" s="312"/>
    </row>
    <row r="546" customFormat="false" ht="15" hidden="true" customHeight="false" outlineLevel="0" collapsed="false">
      <c r="A546" s="312"/>
      <c r="B546" s="312"/>
      <c r="C546" s="312"/>
      <c r="D546" s="312"/>
      <c r="E546" s="312"/>
      <c r="F546" s="312"/>
      <c r="G546" s="312"/>
      <c r="H546" s="312"/>
      <c r="I546" s="312"/>
      <c r="J546" s="312"/>
      <c r="K546" s="312"/>
    </row>
    <row r="547" customFormat="false" ht="15" hidden="true" customHeight="false" outlineLevel="0" collapsed="false">
      <c r="A547" s="312"/>
      <c r="B547" s="312"/>
      <c r="C547" s="312"/>
      <c r="D547" s="312"/>
      <c r="E547" s="312"/>
      <c r="F547" s="312"/>
      <c r="G547" s="312"/>
      <c r="H547" s="312"/>
      <c r="I547" s="312"/>
      <c r="J547" s="312"/>
      <c r="K547" s="312"/>
    </row>
    <row r="548" customFormat="false" ht="15" hidden="true" customHeight="false" outlineLevel="0" collapsed="false">
      <c r="A548" s="312"/>
      <c r="B548" s="312"/>
      <c r="C548" s="312"/>
      <c r="D548" s="312"/>
      <c r="E548" s="312"/>
      <c r="F548" s="312"/>
      <c r="G548" s="312"/>
      <c r="H548" s="312"/>
      <c r="I548" s="312"/>
      <c r="J548" s="312"/>
      <c r="K548" s="312"/>
    </row>
    <row r="549" customFormat="false" ht="15" hidden="true" customHeight="false" outlineLevel="0" collapsed="false">
      <c r="A549" s="312"/>
      <c r="B549" s="312"/>
      <c r="C549" s="312"/>
      <c r="D549" s="312"/>
      <c r="E549" s="312"/>
      <c r="F549" s="312"/>
      <c r="G549" s="312"/>
      <c r="H549" s="312"/>
      <c r="I549" s="312"/>
      <c r="J549" s="312"/>
      <c r="K549" s="312"/>
    </row>
    <row r="550" customFormat="false" ht="15" hidden="true" customHeight="false" outlineLevel="0" collapsed="false">
      <c r="A550" s="312"/>
      <c r="B550" s="312"/>
      <c r="C550" s="312"/>
      <c r="D550" s="312"/>
      <c r="E550" s="312"/>
      <c r="F550" s="312"/>
      <c r="G550" s="312"/>
      <c r="H550" s="312"/>
      <c r="I550" s="312"/>
      <c r="J550" s="312"/>
      <c r="K550" s="312"/>
    </row>
    <row r="551" customFormat="false" ht="15" hidden="true" customHeight="false" outlineLevel="0" collapsed="false">
      <c r="A551" s="312"/>
      <c r="B551" s="312"/>
      <c r="C551" s="312"/>
      <c r="D551" s="312"/>
      <c r="E551" s="312"/>
      <c r="F551" s="312"/>
      <c r="G551" s="312"/>
      <c r="H551" s="312"/>
      <c r="I551" s="312"/>
      <c r="J551" s="312"/>
      <c r="K551" s="312"/>
    </row>
    <row r="552" customFormat="false" ht="15" hidden="true" customHeight="false" outlineLevel="0" collapsed="false">
      <c r="A552" s="312"/>
      <c r="B552" s="312"/>
      <c r="C552" s="312"/>
      <c r="D552" s="312"/>
      <c r="E552" s="312"/>
      <c r="F552" s="312"/>
      <c r="G552" s="312"/>
      <c r="H552" s="312"/>
      <c r="I552" s="312"/>
      <c r="J552" s="312"/>
      <c r="K552" s="312"/>
    </row>
    <row r="553" customFormat="false" ht="15" hidden="true" customHeight="false" outlineLevel="0" collapsed="false">
      <c r="A553" s="312"/>
      <c r="B553" s="312"/>
      <c r="C553" s="312"/>
      <c r="D553" s="312"/>
      <c r="E553" s="312"/>
      <c r="F553" s="312"/>
      <c r="G553" s="312"/>
      <c r="H553" s="312"/>
      <c r="I553" s="312"/>
      <c r="J553" s="312"/>
      <c r="K553" s="312"/>
    </row>
    <row r="554" customFormat="false" ht="15" hidden="true" customHeight="false" outlineLevel="0" collapsed="false">
      <c r="A554" s="312"/>
      <c r="B554" s="312"/>
      <c r="C554" s="312"/>
      <c r="D554" s="312"/>
      <c r="E554" s="312"/>
      <c r="F554" s="312"/>
      <c r="G554" s="312"/>
      <c r="H554" s="312"/>
      <c r="I554" s="312"/>
      <c r="J554" s="312"/>
      <c r="K554" s="312"/>
    </row>
    <row r="555" customFormat="false" ht="15" hidden="true" customHeight="false" outlineLevel="0" collapsed="false">
      <c r="A555" s="312"/>
      <c r="B555" s="312"/>
      <c r="C555" s="312"/>
      <c r="D555" s="312"/>
      <c r="E555" s="312"/>
      <c r="F555" s="312"/>
      <c r="G555" s="312"/>
      <c r="H555" s="312"/>
      <c r="I555" s="312"/>
      <c r="J555" s="312"/>
      <c r="K555" s="312"/>
    </row>
    <row r="556" customFormat="false" ht="15" hidden="true" customHeight="false" outlineLevel="0" collapsed="false">
      <c r="A556" s="312"/>
      <c r="B556" s="312"/>
      <c r="C556" s="312"/>
      <c r="D556" s="312"/>
      <c r="E556" s="312"/>
      <c r="F556" s="312"/>
      <c r="G556" s="312"/>
      <c r="H556" s="312"/>
      <c r="I556" s="312"/>
      <c r="J556" s="312"/>
      <c r="K556" s="312"/>
    </row>
    <row r="557" customFormat="false" ht="15" hidden="true" customHeight="false" outlineLevel="0" collapsed="false">
      <c r="A557" s="312"/>
      <c r="B557" s="312"/>
      <c r="C557" s="312"/>
      <c r="D557" s="312"/>
      <c r="E557" s="312"/>
      <c r="F557" s="312"/>
      <c r="G557" s="312"/>
      <c r="H557" s="312"/>
      <c r="I557" s="312"/>
      <c r="J557" s="312"/>
      <c r="K557" s="312"/>
    </row>
    <row r="558" customFormat="false" ht="15" hidden="true" customHeight="false" outlineLevel="0" collapsed="false">
      <c r="A558" s="312"/>
      <c r="B558" s="312"/>
      <c r="C558" s="312"/>
      <c r="D558" s="312"/>
      <c r="E558" s="312"/>
      <c r="F558" s="312"/>
      <c r="G558" s="312"/>
      <c r="H558" s="312"/>
      <c r="I558" s="312"/>
      <c r="J558" s="312"/>
      <c r="K558" s="312"/>
    </row>
    <row r="559" customFormat="false" ht="15" hidden="true" customHeight="false" outlineLevel="0" collapsed="false">
      <c r="A559" s="312"/>
      <c r="B559" s="312"/>
      <c r="C559" s="312"/>
      <c r="D559" s="312"/>
      <c r="E559" s="312"/>
      <c r="F559" s="312"/>
      <c r="G559" s="312"/>
      <c r="H559" s="312"/>
      <c r="I559" s="312"/>
      <c r="J559" s="312"/>
      <c r="K559" s="312"/>
    </row>
    <row r="560" customFormat="false" ht="15" hidden="true" customHeight="false" outlineLevel="0" collapsed="false">
      <c r="A560" s="312"/>
      <c r="B560" s="312"/>
      <c r="C560" s="312"/>
      <c r="D560" s="312"/>
      <c r="E560" s="312"/>
      <c r="F560" s="312"/>
      <c r="G560" s="312"/>
      <c r="H560" s="312"/>
      <c r="I560" s="312"/>
      <c r="J560" s="312"/>
      <c r="K560" s="312"/>
    </row>
    <row r="561" customFormat="false" ht="15" hidden="true" customHeight="false" outlineLevel="0" collapsed="false">
      <c r="A561" s="312"/>
      <c r="B561" s="312"/>
      <c r="C561" s="312"/>
      <c r="D561" s="312"/>
      <c r="E561" s="312"/>
      <c r="F561" s="312"/>
      <c r="G561" s="312"/>
      <c r="H561" s="312"/>
      <c r="I561" s="312"/>
      <c r="J561" s="312"/>
      <c r="K561" s="312"/>
    </row>
    <row r="562" customFormat="false" ht="15" hidden="true" customHeight="false" outlineLevel="0" collapsed="false">
      <c r="A562" s="312"/>
      <c r="B562" s="312"/>
      <c r="C562" s="312"/>
      <c r="D562" s="312"/>
      <c r="E562" s="312"/>
      <c r="F562" s="312"/>
      <c r="G562" s="312"/>
      <c r="H562" s="312"/>
      <c r="I562" s="312"/>
      <c r="J562" s="312"/>
      <c r="K562" s="312"/>
    </row>
    <row r="563" customFormat="false" ht="15" hidden="true" customHeight="false" outlineLevel="0" collapsed="false">
      <c r="A563" s="312"/>
      <c r="B563" s="312"/>
      <c r="C563" s="312"/>
      <c r="D563" s="312"/>
      <c r="E563" s="312"/>
      <c r="F563" s="312"/>
      <c r="G563" s="312"/>
      <c r="H563" s="312"/>
      <c r="I563" s="312"/>
      <c r="J563" s="312"/>
      <c r="K563" s="312"/>
    </row>
    <row r="564" customFormat="false" ht="15" hidden="true" customHeight="false" outlineLevel="0" collapsed="false">
      <c r="A564" s="312"/>
      <c r="B564" s="312"/>
      <c r="C564" s="312"/>
      <c r="D564" s="312"/>
      <c r="E564" s="312"/>
      <c r="F564" s="312"/>
      <c r="G564" s="312"/>
      <c r="H564" s="312"/>
      <c r="I564" s="312"/>
      <c r="J564" s="312"/>
      <c r="K564" s="312"/>
    </row>
    <row r="565" customFormat="false" ht="15" hidden="true" customHeight="false" outlineLevel="0" collapsed="false">
      <c r="A565" s="312"/>
      <c r="B565" s="312"/>
      <c r="C565" s="312"/>
      <c r="D565" s="312"/>
      <c r="E565" s="312"/>
      <c r="F565" s="312"/>
      <c r="G565" s="312"/>
      <c r="H565" s="312"/>
      <c r="I565" s="312"/>
      <c r="J565" s="312"/>
      <c r="K565" s="312"/>
    </row>
    <row r="566" customFormat="false" ht="15" hidden="true" customHeight="false" outlineLevel="0" collapsed="false">
      <c r="A566" s="312"/>
      <c r="B566" s="312"/>
      <c r="C566" s="312"/>
      <c r="D566" s="312"/>
      <c r="E566" s="312"/>
      <c r="F566" s="312"/>
      <c r="G566" s="312"/>
      <c r="H566" s="312"/>
      <c r="I566" s="312"/>
      <c r="J566" s="312"/>
      <c r="K566" s="312"/>
    </row>
    <row r="567" customFormat="false" ht="15" hidden="true" customHeight="false" outlineLevel="0" collapsed="false">
      <c r="A567" s="312"/>
      <c r="B567" s="312"/>
      <c r="C567" s="312"/>
      <c r="D567" s="312"/>
      <c r="E567" s="312"/>
      <c r="F567" s="312"/>
      <c r="G567" s="312"/>
      <c r="H567" s="312"/>
      <c r="I567" s="312"/>
      <c r="J567" s="312"/>
      <c r="K567" s="312"/>
    </row>
    <row r="568" customFormat="false" ht="15" hidden="true" customHeight="false" outlineLevel="0" collapsed="false">
      <c r="A568" s="312"/>
      <c r="B568" s="312"/>
      <c r="C568" s="312"/>
      <c r="D568" s="312"/>
      <c r="E568" s="312"/>
      <c r="F568" s="312"/>
      <c r="G568" s="312"/>
      <c r="H568" s="312"/>
      <c r="I568" s="312"/>
      <c r="J568" s="312"/>
      <c r="K568" s="312"/>
    </row>
    <row r="569" customFormat="false" ht="15" hidden="true" customHeight="false" outlineLevel="0" collapsed="false">
      <c r="A569" s="312"/>
      <c r="B569" s="312"/>
      <c r="C569" s="312"/>
      <c r="D569" s="312"/>
      <c r="E569" s="312"/>
      <c r="F569" s="312"/>
      <c r="G569" s="312"/>
      <c r="H569" s="312"/>
      <c r="I569" s="312"/>
      <c r="J569" s="312"/>
      <c r="K569" s="312"/>
    </row>
    <row r="570" customFormat="false" ht="15" hidden="true" customHeight="false" outlineLevel="0" collapsed="false">
      <c r="A570" s="312"/>
      <c r="B570" s="312"/>
      <c r="C570" s="312"/>
      <c r="D570" s="312"/>
      <c r="E570" s="312"/>
      <c r="F570" s="312"/>
      <c r="G570" s="312"/>
      <c r="H570" s="312"/>
      <c r="I570" s="312"/>
      <c r="J570" s="312"/>
      <c r="K570" s="312"/>
    </row>
    <row r="571" customFormat="false" ht="15" hidden="true" customHeight="false" outlineLevel="0" collapsed="false">
      <c r="A571" s="312"/>
      <c r="B571" s="312"/>
      <c r="C571" s="312"/>
      <c r="D571" s="312"/>
      <c r="E571" s="312"/>
      <c r="F571" s="312"/>
      <c r="G571" s="312"/>
      <c r="H571" s="312"/>
      <c r="I571" s="312"/>
      <c r="J571" s="312"/>
      <c r="K571" s="312"/>
    </row>
    <row r="572" customFormat="false" ht="15" hidden="true" customHeight="false" outlineLevel="0" collapsed="false">
      <c r="A572" s="312"/>
      <c r="B572" s="312"/>
      <c r="C572" s="312"/>
      <c r="D572" s="312"/>
      <c r="E572" s="312"/>
      <c r="F572" s="312"/>
      <c r="G572" s="312"/>
      <c r="H572" s="312"/>
      <c r="I572" s="312"/>
      <c r="J572" s="312"/>
      <c r="K572" s="312"/>
    </row>
    <row r="573" customFormat="false" ht="15" hidden="true" customHeight="false" outlineLevel="0" collapsed="false">
      <c r="A573" s="312"/>
      <c r="B573" s="312"/>
      <c r="C573" s="312"/>
      <c r="D573" s="312"/>
      <c r="E573" s="312"/>
      <c r="F573" s="312"/>
      <c r="G573" s="312"/>
      <c r="H573" s="312"/>
      <c r="I573" s="312"/>
      <c r="J573" s="312"/>
      <c r="K573" s="312"/>
    </row>
    <row r="574" customFormat="false" ht="15" hidden="true" customHeight="false" outlineLevel="0" collapsed="false">
      <c r="A574" s="312"/>
      <c r="B574" s="312"/>
      <c r="C574" s="312"/>
      <c r="D574" s="312"/>
      <c r="E574" s="312"/>
      <c r="F574" s="312"/>
      <c r="G574" s="312"/>
      <c r="H574" s="312"/>
      <c r="I574" s="312"/>
      <c r="J574" s="312"/>
      <c r="K574" s="312"/>
    </row>
    <row r="575" customFormat="false" ht="15" hidden="true" customHeight="false" outlineLevel="0" collapsed="false">
      <c r="A575" s="312"/>
      <c r="B575" s="312"/>
      <c r="C575" s="312"/>
      <c r="D575" s="312"/>
      <c r="E575" s="312"/>
      <c r="F575" s="312"/>
      <c r="G575" s="312"/>
      <c r="H575" s="312"/>
      <c r="I575" s="312"/>
      <c r="J575" s="312"/>
      <c r="K575" s="312"/>
    </row>
    <row r="576" customFormat="false" ht="15" hidden="true" customHeight="false" outlineLevel="0" collapsed="false">
      <c r="A576" s="312"/>
      <c r="B576" s="312"/>
      <c r="C576" s="312"/>
      <c r="D576" s="312"/>
      <c r="E576" s="312"/>
      <c r="F576" s="312"/>
      <c r="G576" s="312"/>
      <c r="H576" s="312"/>
      <c r="I576" s="312"/>
      <c r="J576" s="312"/>
      <c r="K576" s="312"/>
    </row>
    <row r="577" customFormat="false" ht="15" hidden="true" customHeight="false" outlineLevel="0" collapsed="false">
      <c r="A577" s="312"/>
      <c r="B577" s="312"/>
      <c r="C577" s="312"/>
      <c r="D577" s="312"/>
      <c r="E577" s="312"/>
      <c r="F577" s="312"/>
      <c r="G577" s="312"/>
      <c r="H577" s="312"/>
      <c r="I577" s="312"/>
      <c r="J577" s="312"/>
      <c r="K577" s="312"/>
    </row>
    <row r="578" customFormat="false" ht="15" hidden="true" customHeight="false" outlineLevel="0" collapsed="false">
      <c r="A578" s="312"/>
      <c r="B578" s="312"/>
      <c r="C578" s="312"/>
      <c r="D578" s="312"/>
      <c r="E578" s="312"/>
      <c r="F578" s="312"/>
      <c r="G578" s="312"/>
      <c r="H578" s="312"/>
      <c r="I578" s="312"/>
      <c r="J578" s="312"/>
      <c r="K578" s="312"/>
    </row>
    <row r="579" customFormat="false" ht="15" hidden="true" customHeight="false" outlineLevel="0" collapsed="false">
      <c r="A579" s="312"/>
      <c r="B579" s="312"/>
      <c r="C579" s="312"/>
      <c r="D579" s="312"/>
      <c r="E579" s="312"/>
      <c r="F579" s="312"/>
      <c r="G579" s="312"/>
      <c r="H579" s="312"/>
      <c r="I579" s="312"/>
      <c r="J579" s="312"/>
      <c r="K579" s="312"/>
    </row>
    <row r="580" customFormat="false" ht="15" hidden="true" customHeight="false" outlineLevel="0" collapsed="false">
      <c r="A580" s="312"/>
      <c r="B580" s="312"/>
      <c r="C580" s="312"/>
      <c r="D580" s="312"/>
      <c r="E580" s="312"/>
      <c r="F580" s="312"/>
      <c r="G580" s="312"/>
      <c r="H580" s="312"/>
      <c r="I580" s="312"/>
      <c r="J580" s="312"/>
      <c r="K580" s="312"/>
    </row>
    <row r="581" customFormat="false" ht="15" hidden="true" customHeight="false" outlineLevel="0" collapsed="false">
      <c r="A581" s="312"/>
      <c r="B581" s="312"/>
      <c r="C581" s="312"/>
      <c r="D581" s="312"/>
      <c r="E581" s="312"/>
      <c r="F581" s="312"/>
      <c r="G581" s="312"/>
      <c r="H581" s="312"/>
      <c r="I581" s="312"/>
      <c r="J581" s="312"/>
      <c r="K581" s="312"/>
    </row>
    <row r="582" customFormat="false" ht="15" hidden="true" customHeight="false" outlineLevel="0" collapsed="false">
      <c r="A582" s="312"/>
      <c r="B582" s="312"/>
      <c r="C582" s="312"/>
      <c r="D582" s="312"/>
      <c r="E582" s="312"/>
      <c r="F582" s="312"/>
      <c r="G582" s="312"/>
      <c r="H582" s="312"/>
      <c r="I582" s="312"/>
      <c r="J582" s="312"/>
      <c r="K582" s="312"/>
    </row>
    <row r="583" customFormat="false" ht="15" hidden="true" customHeight="false" outlineLevel="0" collapsed="false">
      <c r="A583" s="312"/>
      <c r="B583" s="312"/>
      <c r="C583" s="312"/>
      <c r="D583" s="312"/>
      <c r="E583" s="312"/>
      <c r="F583" s="312"/>
      <c r="G583" s="312"/>
      <c r="H583" s="312"/>
      <c r="I583" s="312"/>
      <c r="J583" s="312"/>
      <c r="K583" s="312"/>
    </row>
    <row r="584" customFormat="false" ht="15" hidden="true" customHeight="false" outlineLevel="0" collapsed="false">
      <c r="A584" s="312"/>
      <c r="B584" s="312"/>
      <c r="C584" s="312"/>
      <c r="D584" s="312"/>
      <c r="E584" s="312"/>
      <c r="F584" s="312"/>
      <c r="G584" s="312"/>
      <c r="H584" s="312"/>
      <c r="I584" s="312"/>
      <c r="J584" s="312"/>
      <c r="K584" s="312"/>
    </row>
    <row r="585" customFormat="false" ht="15" hidden="true" customHeight="false" outlineLevel="0" collapsed="false">
      <c r="A585" s="312"/>
      <c r="B585" s="312"/>
      <c r="C585" s="312"/>
      <c r="D585" s="312"/>
      <c r="E585" s="312"/>
      <c r="F585" s="312"/>
      <c r="G585" s="312"/>
      <c r="H585" s="312"/>
      <c r="I585" s="312"/>
      <c r="J585" s="312"/>
      <c r="K585" s="312"/>
    </row>
    <row r="586" customFormat="false" ht="15" hidden="true" customHeight="false" outlineLevel="0" collapsed="false">
      <c r="A586" s="312"/>
      <c r="B586" s="312"/>
      <c r="C586" s="312"/>
      <c r="D586" s="312"/>
      <c r="E586" s="312"/>
      <c r="F586" s="312"/>
      <c r="G586" s="312"/>
      <c r="H586" s="312"/>
      <c r="I586" s="312"/>
      <c r="J586" s="312"/>
      <c r="K586" s="312"/>
    </row>
    <row r="587" customFormat="false" ht="15" hidden="true" customHeight="false" outlineLevel="0" collapsed="false">
      <c r="A587" s="312"/>
      <c r="B587" s="312"/>
      <c r="C587" s="312"/>
      <c r="D587" s="312"/>
      <c r="E587" s="312"/>
      <c r="F587" s="312"/>
      <c r="G587" s="312"/>
      <c r="H587" s="312"/>
      <c r="I587" s="312"/>
      <c r="J587" s="312"/>
      <c r="K587" s="312"/>
    </row>
    <row r="588" customFormat="false" ht="15" hidden="true" customHeight="false" outlineLevel="0" collapsed="false">
      <c r="A588" s="312"/>
      <c r="B588" s="312"/>
      <c r="C588" s="312"/>
      <c r="D588" s="312"/>
      <c r="E588" s="312"/>
      <c r="F588" s="312"/>
      <c r="G588" s="312"/>
      <c r="H588" s="312"/>
      <c r="I588" s="312"/>
      <c r="J588" s="312"/>
      <c r="K588" s="312"/>
    </row>
    <row r="589" customFormat="false" ht="15" hidden="true" customHeight="false" outlineLevel="0" collapsed="false">
      <c r="A589" s="312"/>
      <c r="B589" s="312"/>
      <c r="C589" s="312"/>
      <c r="D589" s="312"/>
      <c r="E589" s="312"/>
      <c r="F589" s="312"/>
      <c r="G589" s="312"/>
      <c r="H589" s="312"/>
      <c r="I589" s="312"/>
      <c r="J589" s="312"/>
      <c r="K589" s="312"/>
    </row>
    <row r="590" customFormat="false" ht="15" hidden="true" customHeight="false" outlineLevel="0" collapsed="false">
      <c r="A590" s="312"/>
      <c r="B590" s="312"/>
      <c r="C590" s="312"/>
      <c r="D590" s="312"/>
      <c r="E590" s="312"/>
      <c r="F590" s="312"/>
      <c r="G590" s="312"/>
      <c r="H590" s="312"/>
      <c r="I590" s="312"/>
      <c r="J590" s="312"/>
      <c r="K590" s="312"/>
    </row>
    <row r="591" customFormat="false" ht="15" hidden="true" customHeight="false" outlineLevel="0" collapsed="false">
      <c r="A591" s="312"/>
      <c r="B591" s="312"/>
      <c r="C591" s="312"/>
      <c r="D591" s="312"/>
      <c r="E591" s="312"/>
      <c r="F591" s="312"/>
      <c r="G591" s="312"/>
      <c r="H591" s="312"/>
      <c r="I591" s="312"/>
      <c r="J591" s="312"/>
      <c r="K591" s="312"/>
    </row>
    <row r="592" customFormat="false" ht="15" hidden="true" customHeight="false" outlineLevel="0" collapsed="false">
      <c r="A592" s="312"/>
      <c r="B592" s="312"/>
      <c r="C592" s="312"/>
      <c r="D592" s="312"/>
      <c r="E592" s="312"/>
      <c r="F592" s="312"/>
      <c r="G592" s="312"/>
      <c r="H592" s="312"/>
      <c r="I592" s="312"/>
      <c r="J592" s="312"/>
      <c r="K592" s="312"/>
    </row>
    <row r="593" customFormat="false" ht="15" hidden="true" customHeight="false" outlineLevel="0" collapsed="false">
      <c r="A593" s="312"/>
      <c r="B593" s="312"/>
      <c r="C593" s="312"/>
      <c r="D593" s="312"/>
      <c r="E593" s="312"/>
      <c r="F593" s="312"/>
      <c r="G593" s="312"/>
      <c r="H593" s="312"/>
      <c r="I593" s="312"/>
      <c r="J593" s="312"/>
      <c r="K593" s="312"/>
    </row>
    <row r="594" customFormat="false" ht="15" hidden="true" customHeight="false" outlineLevel="0" collapsed="false">
      <c r="A594" s="312"/>
      <c r="B594" s="312"/>
      <c r="C594" s="312"/>
      <c r="D594" s="312"/>
      <c r="E594" s="312"/>
      <c r="F594" s="312"/>
      <c r="G594" s="312"/>
      <c r="H594" s="312"/>
      <c r="I594" s="312"/>
      <c r="J594" s="312"/>
      <c r="K594" s="312"/>
    </row>
    <row r="595" customFormat="false" ht="15" hidden="true" customHeight="false" outlineLevel="0" collapsed="false">
      <c r="A595" s="312"/>
      <c r="B595" s="312"/>
      <c r="C595" s="312"/>
      <c r="D595" s="312"/>
      <c r="E595" s="312"/>
      <c r="F595" s="312"/>
      <c r="G595" s="312"/>
      <c r="H595" s="312"/>
      <c r="I595" s="312"/>
      <c r="J595" s="312"/>
      <c r="K595" s="312"/>
    </row>
    <row r="596" customFormat="false" ht="15" hidden="true" customHeight="false" outlineLevel="0" collapsed="false">
      <c r="A596" s="312"/>
      <c r="B596" s="312"/>
      <c r="C596" s="312"/>
      <c r="D596" s="312"/>
      <c r="E596" s="312"/>
      <c r="F596" s="312"/>
      <c r="G596" s="312"/>
      <c r="H596" s="312"/>
      <c r="I596" s="312"/>
      <c r="J596" s="312"/>
      <c r="K596" s="312"/>
    </row>
    <row r="597" customFormat="false" ht="15" hidden="true" customHeight="false" outlineLevel="0" collapsed="false">
      <c r="A597" s="312"/>
      <c r="B597" s="312"/>
      <c r="C597" s="312"/>
      <c r="D597" s="312"/>
      <c r="E597" s="312"/>
      <c r="F597" s="312"/>
      <c r="G597" s="312"/>
      <c r="H597" s="312"/>
      <c r="I597" s="312"/>
      <c r="J597" s="312"/>
      <c r="K597" s="312"/>
    </row>
    <row r="598" customFormat="false" ht="15" hidden="true" customHeight="false" outlineLevel="0" collapsed="false">
      <c r="A598" s="312"/>
      <c r="B598" s="312"/>
      <c r="C598" s="312"/>
      <c r="D598" s="312"/>
      <c r="E598" s="312"/>
      <c r="F598" s="312"/>
      <c r="G598" s="312"/>
      <c r="H598" s="312"/>
      <c r="I598" s="312"/>
      <c r="J598" s="312"/>
      <c r="K598" s="312"/>
    </row>
    <row r="599" customFormat="false" ht="15" hidden="true" customHeight="false" outlineLevel="0" collapsed="false">
      <c r="A599" s="312"/>
      <c r="B599" s="312"/>
      <c r="C599" s="312"/>
      <c r="D599" s="312"/>
      <c r="E599" s="312"/>
      <c r="F599" s="312"/>
      <c r="G599" s="312"/>
      <c r="H599" s="312"/>
      <c r="I599" s="312"/>
      <c r="J599" s="312"/>
      <c r="K599" s="312"/>
    </row>
    <row r="600" customFormat="false" ht="15" hidden="true" customHeight="false" outlineLevel="0" collapsed="false">
      <c r="A600" s="312"/>
      <c r="B600" s="312"/>
      <c r="C600" s="312"/>
      <c r="D600" s="312"/>
      <c r="E600" s="312"/>
      <c r="F600" s="312"/>
      <c r="G600" s="312"/>
      <c r="H600" s="312"/>
      <c r="I600" s="312"/>
      <c r="J600" s="312"/>
      <c r="K600" s="312"/>
    </row>
    <row r="601" customFormat="false" ht="15" hidden="true" customHeight="false" outlineLevel="0" collapsed="false">
      <c r="A601" s="312"/>
      <c r="B601" s="312"/>
      <c r="C601" s="312"/>
      <c r="D601" s="312"/>
      <c r="E601" s="312"/>
      <c r="F601" s="312"/>
      <c r="G601" s="312"/>
      <c r="H601" s="312"/>
      <c r="I601" s="312"/>
      <c r="J601" s="312"/>
      <c r="K601" s="312"/>
    </row>
    <row r="602" customFormat="false" ht="15" hidden="true" customHeight="false" outlineLevel="0" collapsed="false">
      <c r="A602" s="312"/>
      <c r="B602" s="312"/>
      <c r="C602" s="312"/>
      <c r="D602" s="312"/>
      <c r="E602" s="312"/>
      <c r="F602" s="312"/>
      <c r="G602" s="312"/>
      <c r="H602" s="312"/>
      <c r="I602" s="312"/>
      <c r="J602" s="312"/>
      <c r="K602" s="312"/>
    </row>
    <row r="603" customFormat="false" ht="15" hidden="true" customHeight="false" outlineLevel="0" collapsed="false">
      <c r="A603" s="312"/>
      <c r="B603" s="312"/>
      <c r="C603" s="312"/>
      <c r="D603" s="312"/>
      <c r="E603" s="312"/>
      <c r="F603" s="312"/>
      <c r="G603" s="312"/>
      <c r="H603" s="312"/>
      <c r="I603" s="312"/>
      <c r="J603" s="312"/>
      <c r="K603" s="312"/>
    </row>
    <row r="604" customFormat="false" ht="15" hidden="true" customHeight="false" outlineLevel="0" collapsed="false">
      <c r="A604" s="312"/>
      <c r="B604" s="312"/>
      <c r="C604" s="312"/>
      <c r="D604" s="312"/>
      <c r="E604" s="312"/>
      <c r="F604" s="312"/>
      <c r="G604" s="312"/>
      <c r="H604" s="312"/>
      <c r="I604" s="312"/>
      <c r="J604" s="312"/>
      <c r="K604" s="312"/>
    </row>
    <row r="605" customFormat="false" ht="15" hidden="true" customHeight="false" outlineLevel="0" collapsed="false">
      <c r="A605" s="312"/>
      <c r="B605" s="312"/>
      <c r="C605" s="312"/>
      <c r="D605" s="312"/>
      <c r="E605" s="312"/>
      <c r="F605" s="312"/>
      <c r="G605" s="312"/>
      <c r="H605" s="312"/>
      <c r="I605" s="312"/>
      <c r="J605" s="312"/>
      <c r="K605" s="312"/>
    </row>
    <row r="606" customFormat="false" ht="15" hidden="true" customHeight="false" outlineLevel="0" collapsed="false">
      <c r="A606" s="312"/>
      <c r="B606" s="312"/>
      <c r="C606" s="312"/>
      <c r="D606" s="312"/>
      <c r="E606" s="312"/>
      <c r="F606" s="312"/>
      <c r="G606" s="312"/>
      <c r="H606" s="312"/>
      <c r="I606" s="312"/>
      <c r="J606" s="312"/>
      <c r="K606" s="312"/>
    </row>
    <row r="607" customFormat="false" ht="15" hidden="true" customHeight="false" outlineLevel="0" collapsed="false">
      <c r="A607" s="312"/>
      <c r="B607" s="312"/>
      <c r="C607" s="312"/>
      <c r="D607" s="312"/>
      <c r="E607" s="312"/>
      <c r="F607" s="312"/>
      <c r="G607" s="312"/>
      <c r="H607" s="312"/>
      <c r="I607" s="312"/>
      <c r="J607" s="312"/>
      <c r="K607" s="312"/>
    </row>
    <row r="608" customFormat="false" ht="15" hidden="true" customHeight="false" outlineLevel="0" collapsed="false">
      <c r="A608" s="312"/>
      <c r="B608" s="312"/>
      <c r="C608" s="312"/>
      <c r="D608" s="312"/>
      <c r="E608" s="312"/>
      <c r="F608" s="312"/>
      <c r="G608" s="312"/>
      <c r="H608" s="312"/>
      <c r="I608" s="312"/>
      <c r="J608" s="312"/>
      <c r="K608" s="312"/>
    </row>
    <row r="609" customFormat="false" ht="15" hidden="true" customHeight="false" outlineLevel="0" collapsed="false">
      <c r="A609" s="312"/>
      <c r="B609" s="312"/>
      <c r="C609" s="312"/>
      <c r="D609" s="312"/>
      <c r="E609" s="312"/>
      <c r="F609" s="312"/>
      <c r="G609" s="312"/>
      <c r="H609" s="312"/>
      <c r="I609" s="312"/>
      <c r="J609" s="312"/>
      <c r="K609" s="312"/>
    </row>
    <row r="610" customFormat="false" ht="15" hidden="true" customHeight="false" outlineLevel="0" collapsed="false">
      <c r="A610" s="312"/>
      <c r="B610" s="312"/>
      <c r="C610" s="312"/>
      <c r="D610" s="312"/>
      <c r="E610" s="312"/>
      <c r="F610" s="312"/>
      <c r="G610" s="312"/>
      <c r="H610" s="312"/>
      <c r="I610" s="312"/>
      <c r="J610" s="312"/>
      <c r="K610" s="312"/>
    </row>
    <row r="611" customFormat="false" ht="15" hidden="true" customHeight="false" outlineLevel="0" collapsed="false">
      <c r="A611" s="312"/>
      <c r="B611" s="312"/>
      <c r="C611" s="312"/>
      <c r="D611" s="312"/>
      <c r="E611" s="312"/>
      <c r="F611" s="312"/>
      <c r="G611" s="312"/>
      <c r="H611" s="312"/>
      <c r="I611" s="312"/>
      <c r="J611" s="312"/>
      <c r="K611" s="312"/>
    </row>
    <row r="612" customFormat="false" ht="15" hidden="true" customHeight="false" outlineLevel="0" collapsed="false">
      <c r="A612" s="312"/>
      <c r="B612" s="312"/>
      <c r="C612" s="312"/>
      <c r="D612" s="312"/>
      <c r="E612" s="312"/>
      <c r="F612" s="312"/>
      <c r="G612" s="312"/>
      <c r="H612" s="312"/>
      <c r="I612" s="312"/>
      <c r="J612" s="312"/>
      <c r="K612" s="312"/>
    </row>
    <row r="613" customFormat="false" ht="15" hidden="true" customHeight="false" outlineLevel="0" collapsed="false">
      <c r="A613" s="312"/>
      <c r="B613" s="312"/>
      <c r="C613" s="312"/>
      <c r="D613" s="312"/>
      <c r="E613" s="312"/>
      <c r="F613" s="312"/>
      <c r="G613" s="312"/>
      <c r="H613" s="312"/>
      <c r="I613" s="312"/>
      <c r="J613" s="312"/>
      <c r="K613" s="312"/>
    </row>
    <row r="614" customFormat="false" ht="15" hidden="true" customHeight="false" outlineLevel="0" collapsed="false">
      <c r="A614" s="312"/>
      <c r="B614" s="312"/>
      <c r="C614" s="312"/>
      <c r="D614" s="312"/>
      <c r="E614" s="312"/>
      <c r="F614" s="312"/>
      <c r="G614" s="312"/>
      <c r="H614" s="312"/>
      <c r="I614" s="312"/>
      <c r="J614" s="312"/>
      <c r="K614" s="312"/>
    </row>
    <row r="615" customFormat="false" ht="15" hidden="true" customHeight="false" outlineLevel="0" collapsed="false">
      <c r="A615" s="312"/>
      <c r="B615" s="312"/>
      <c r="C615" s="312"/>
      <c r="D615" s="312"/>
      <c r="E615" s="312"/>
      <c r="F615" s="312"/>
      <c r="G615" s="312"/>
      <c r="H615" s="312"/>
      <c r="I615" s="312"/>
      <c r="J615" s="312"/>
      <c r="K615" s="312"/>
    </row>
    <row r="616" customFormat="false" ht="15" hidden="true" customHeight="false" outlineLevel="0" collapsed="false">
      <c r="A616" s="312"/>
      <c r="B616" s="312"/>
      <c r="C616" s="312"/>
      <c r="D616" s="312"/>
      <c r="E616" s="312"/>
      <c r="F616" s="312"/>
      <c r="G616" s="312"/>
      <c r="H616" s="312"/>
      <c r="I616" s="312"/>
      <c r="J616" s="312"/>
      <c r="K616" s="312"/>
    </row>
    <row r="617" customFormat="false" ht="15" hidden="true" customHeight="false" outlineLevel="0" collapsed="false">
      <c r="A617" s="312"/>
      <c r="B617" s="312"/>
      <c r="C617" s="312"/>
      <c r="D617" s="312"/>
      <c r="E617" s="312"/>
      <c r="F617" s="312"/>
      <c r="G617" s="312"/>
      <c r="H617" s="312"/>
      <c r="I617" s="312"/>
      <c r="J617" s="312"/>
      <c r="K617" s="312"/>
    </row>
    <row r="618" customFormat="false" ht="15" hidden="true" customHeight="false" outlineLevel="0" collapsed="false">
      <c r="A618" s="312"/>
      <c r="B618" s="312"/>
      <c r="C618" s="312"/>
      <c r="D618" s="312"/>
      <c r="E618" s="312"/>
      <c r="F618" s="312"/>
      <c r="G618" s="312"/>
      <c r="H618" s="312"/>
      <c r="I618" s="312"/>
      <c r="J618" s="312"/>
      <c r="K618" s="312"/>
    </row>
    <row r="619" customFormat="false" ht="15" hidden="true" customHeight="false" outlineLevel="0" collapsed="false">
      <c r="A619" s="312"/>
      <c r="B619" s="312"/>
      <c r="C619" s="312"/>
      <c r="D619" s="312"/>
      <c r="E619" s="312"/>
      <c r="F619" s="312"/>
      <c r="G619" s="312"/>
      <c r="H619" s="312"/>
      <c r="I619" s="312"/>
      <c r="J619" s="312"/>
      <c r="K619" s="312"/>
    </row>
    <row r="620" customFormat="false" ht="15" hidden="true" customHeight="false" outlineLevel="0" collapsed="false">
      <c r="A620" s="312"/>
      <c r="B620" s="312"/>
      <c r="C620" s="312"/>
      <c r="D620" s="312"/>
      <c r="E620" s="312"/>
      <c r="F620" s="312"/>
      <c r="G620" s="312"/>
      <c r="H620" s="312"/>
      <c r="I620" s="312"/>
      <c r="J620" s="312"/>
      <c r="K620" s="312"/>
    </row>
    <row r="621" customFormat="false" ht="15" hidden="true" customHeight="false" outlineLevel="0" collapsed="false">
      <c r="A621" s="312"/>
      <c r="B621" s="312"/>
      <c r="C621" s="312"/>
      <c r="D621" s="312"/>
      <c r="E621" s="312"/>
      <c r="F621" s="312"/>
      <c r="G621" s="312"/>
      <c r="H621" s="312"/>
      <c r="I621" s="312"/>
      <c r="J621" s="312"/>
      <c r="K621" s="312"/>
    </row>
    <row r="622" customFormat="false" ht="15" hidden="true" customHeight="false" outlineLevel="0" collapsed="false">
      <c r="A622" s="312"/>
      <c r="B622" s="312"/>
      <c r="C622" s="312"/>
      <c r="D622" s="312"/>
      <c r="E622" s="312"/>
      <c r="F622" s="312"/>
      <c r="G622" s="312"/>
      <c r="H622" s="312"/>
      <c r="I622" s="312"/>
      <c r="J622" s="312"/>
      <c r="K622" s="312"/>
    </row>
    <row r="623" customFormat="false" ht="15" hidden="true" customHeight="false" outlineLevel="0" collapsed="false">
      <c r="A623" s="312"/>
      <c r="B623" s="312"/>
      <c r="C623" s="312"/>
      <c r="D623" s="312"/>
      <c r="E623" s="312"/>
      <c r="F623" s="312"/>
      <c r="G623" s="312"/>
      <c r="H623" s="312"/>
      <c r="I623" s="312"/>
      <c r="J623" s="312"/>
      <c r="K623" s="312"/>
    </row>
    <row r="624" customFormat="false" ht="15" hidden="true" customHeight="false" outlineLevel="0" collapsed="false">
      <c r="A624" s="312"/>
      <c r="B624" s="312"/>
      <c r="C624" s="312"/>
      <c r="D624" s="312"/>
      <c r="E624" s="312"/>
      <c r="F624" s="312"/>
      <c r="G624" s="312"/>
      <c r="H624" s="312"/>
      <c r="I624" s="312"/>
      <c r="J624" s="312"/>
      <c r="K624" s="312"/>
    </row>
    <row r="625" customFormat="false" ht="15" hidden="true" customHeight="false" outlineLevel="0" collapsed="false">
      <c r="A625" s="312"/>
      <c r="B625" s="312"/>
      <c r="C625" s="312"/>
      <c r="D625" s="312"/>
      <c r="E625" s="312"/>
      <c r="F625" s="312"/>
      <c r="G625" s="312"/>
      <c r="H625" s="312"/>
      <c r="I625" s="312"/>
      <c r="J625" s="312"/>
      <c r="K625" s="312"/>
    </row>
    <row r="626" customFormat="false" ht="15" hidden="true" customHeight="false" outlineLevel="0" collapsed="false">
      <c r="A626" s="312"/>
      <c r="B626" s="312"/>
      <c r="C626" s="312"/>
      <c r="D626" s="312"/>
      <c r="E626" s="312"/>
      <c r="F626" s="312"/>
      <c r="G626" s="312"/>
      <c r="H626" s="312"/>
      <c r="I626" s="312"/>
      <c r="J626" s="312"/>
      <c r="K626" s="312"/>
    </row>
    <row r="627" customFormat="false" ht="15" hidden="true" customHeight="false" outlineLevel="0" collapsed="false">
      <c r="A627" s="312"/>
      <c r="B627" s="312"/>
      <c r="C627" s="312"/>
      <c r="D627" s="312"/>
      <c r="E627" s="312"/>
      <c r="F627" s="312"/>
      <c r="G627" s="312"/>
      <c r="H627" s="312"/>
      <c r="I627" s="312"/>
      <c r="J627" s="312"/>
      <c r="K627" s="312"/>
    </row>
    <row r="628" customFormat="false" ht="15" hidden="true" customHeight="false" outlineLevel="0" collapsed="false">
      <c r="A628" s="312"/>
      <c r="B628" s="312"/>
      <c r="C628" s="312"/>
      <c r="D628" s="312"/>
      <c r="E628" s="312"/>
      <c r="F628" s="312"/>
      <c r="G628" s="312"/>
      <c r="H628" s="312"/>
      <c r="I628" s="312"/>
      <c r="J628" s="312"/>
      <c r="K628" s="312"/>
    </row>
    <row r="629" customFormat="false" ht="15" hidden="true" customHeight="false" outlineLevel="0" collapsed="false">
      <c r="A629" s="312"/>
      <c r="B629" s="312"/>
      <c r="C629" s="312"/>
      <c r="D629" s="312"/>
      <c r="E629" s="312"/>
      <c r="F629" s="312"/>
      <c r="G629" s="312"/>
      <c r="H629" s="312"/>
      <c r="I629" s="312"/>
      <c r="J629" s="312"/>
      <c r="K629" s="312"/>
    </row>
    <row r="630" customFormat="false" ht="15" hidden="true" customHeight="false" outlineLevel="0" collapsed="false">
      <c r="A630" s="312"/>
      <c r="B630" s="312"/>
      <c r="C630" s="312"/>
      <c r="D630" s="312"/>
      <c r="E630" s="312"/>
      <c r="F630" s="312"/>
      <c r="G630" s="312"/>
      <c r="H630" s="312"/>
      <c r="I630" s="312"/>
      <c r="J630" s="312"/>
      <c r="K630" s="312"/>
    </row>
    <row r="631" customFormat="false" ht="15" hidden="true" customHeight="false" outlineLevel="0" collapsed="false">
      <c r="A631" s="312"/>
      <c r="B631" s="312"/>
      <c r="C631" s="312"/>
      <c r="D631" s="312"/>
      <c r="E631" s="312"/>
      <c r="F631" s="312"/>
      <c r="G631" s="312"/>
      <c r="H631" s="312"/>
      <c r="I631" s="312"/>
      <c r="J631" s="312"/>
      <c r="K631" s="312"/>
    </row>
    <row r="632" customFormat="false" ht="15" hidden="true" customHeight="false" outlineLevel="0" collapsed="false">
      <c r="A632" s="312"/>
      <c r="B632" s="312"/>
      <c r="C632" s="312"/>
      <c r="D632" s="312"/>
      <c r="E632" s="312"/>
      <c r="F632" s="312"/>
      <c r="G632" s="312"/>
      <c r="H632" s="312"/>
      <c r="I632" s="312"/>
      <c r="J632" s="312"/>
      <c r="K632" s="312"/>
    </row>
    <row r="633" customFormat="false" ht="15" hidden="true" customHeight="false" outlineLevel="0" collapsed="false">
      <c r="A633" s="312"/>
      <c r="B633" s="312"/>
      <c r="C633" s="312"/>
      <c r="D633" s="312"/>
      <c r="E633" s="312"/>
      <c r="F633" s="312"/>
      <c r="G633" s="312"/>
      <c r="H633" s="312"/>
      <c r="I633" s="312"/>
      <c r="J633" s="312"/>
      <c r="K633" s="312"/>
    </row>
    <row r="634" customFormat="false" ht="15" hidden="true" customHeight="false" outlineLevel="0" collapsed="false">
      <c r="A634" s="312"/>
      <c r="B634" s="312"/>
      <c r="C634" s="312"/>
      <c r="D634" s="312"/>
      <c r="E634" s="312"/>
      <c r="F634" s="312"/>
      <c r="G634" s="312"/>
      <c r="H634" s="312"/>
      <c r="I634" s="312"/>
      <c r="J634" s="312"/>
      <c r="K634" s="312"/>
    </row>
    <row r="635" customFormat="false" ht="15" hidden="true" customHeight="false" outlineLevel="0" collapsed="false">
      <c r="A635" s="312"/>
      <c r="B635" s="312"/>
      <c r="C635" s="312"/>
      <c r="D635" s="312"/>
      <c r="E635" s="312"/>
      <c r="F635" s="312"/>
      <c r="G635" s="312"/>
      <c r="H635" s="312"/>
      <c r="I635" s="312"/>
      <c r="J635" s="312"/>
      <c r="K635" s="312"/>
    </row>
    <row r="636" customFormat="false" ht="15" hidden="true" customHeight="false" outlineLevel="0" collapsed="false">
      <c r="A636" s="312"/>
      <c r="B636" s="312"/>
      <c r="C636" s="312"/>
      <c r="D636" s="312"/>
      <c r="E636" s="312"/>
      <c r="F636" s="312"/>
      <c r="G636" s="312"/>
      <c r="H636" s="312"/>
      <c r="I636" s="312"/>
      <c r="J636" s="312"/>
      <c r="K636" s="312"/>
    </row>
    <row r="637" customFormat="false" ht="15" hidden="true" customHeight="false" outlineLevel="0" collapsed="false">
      <c r="A637" s="312"/>
      <c r="B637" s="312"/>
      <c r="C637" s="312"/>
      <c r="D637" s="312"/>
      <c r="E637" s="312"/>
      <c r="F637" s="312"/>
      <c r="G637" s="312"/>
      <c r="H637" s="312"/>
      <c r="I637" s="312"/>
      <c r="J637" s="312"/>
      <c r="K637" s="312"/>
    </row>
    <row r="638" customFormat="false" ht="15" hidden="true" customHeight="false" outlineLevel="0" collapsed="false">
      <c r="A638" s="312"/>
      <c r="B638" s="312"/>
      <c r="C638" s="312"/>
      <c r="D638" s="312"/>
      <c r="E638" s="312"/>
      <c r="F638" s="312"/>
      <c r="G638" s="312"/>
      <c r="H638" s="312"/>
      <c r="I638" s="312"/>
      <c r="J638" s="312"/>
      <c r="K638" s="312"/>
    </row>
    <row r="639" customFormat="false" ht="15" hidden="true" customHeight="false" outlineLevel="0" collapsed="false">
      <c r="A639" s="312"/>
      <c r="B639" s="312"/>
      <c r="C639" s="312"/>
      <c r="D639" s="312"/>
      <c r="E639" s="312"/>
      <c r="F639" s="312"/>
      <c r="G639" s="312"/>
      <c r="H639" s="312"/>
      <c r="I639" s="312"/>
      <c r="J639" s="312"/>
      <c r="K639" s="312"/>
    </row>
    <row r="640" customFormat="false" ht="15" hidden="true" customHeight="false" outlineLevel="0" collapsed="false">
      <c r="A640" s="312"/>
      <c r="B640" s="312"/>
      <c r="C640" s="312"/>
      <c r="D640" s="312"/>
      <c r="E640" s="312"/>
      <c r="F640" s="312"/>
      <c r="G640" s="312"/>
      <c r="H640" s="312"/>
      <c r="I640" s="312"/>
      <c r="J640" s="312"/>
      <c r="K640" s="312"/>
    </row>
    <row r="641" customFormat="false" ht="15" hidden="true" customHeight="false" outlineLevel="0" collapsed="false">
      <c r="A641" s="312"/>
      <c r="B641" s="312"/>
      <c r="C641" s="312"/>
      <c r="D641" s="312"/>
      <c r="E641" s="312"/>
      <c r="F641" s="312"/>
      <c r="G641" s="312"/>
      <c r="H641" s="312"/>
      <c r="I641" s="312"/>
      <c r="J641" s="312"/>
      <c r="K641" s="312"/>
    </row>
    <row r="642" customFormat="false" ht="15" hidden="true" customHeight="false" outlineLevel="0" collapsed="false">
      <c r="A642" s="312"/>
      <c r="B642" s="312"/>
      <c r="C642" s="312"/>
      <c r="D642" s="312"/>
      <c r="E642" s="312"/>
      <c r="F642" s="312"/>
      <c r="G642" s="312"/>
      <c r="H642" s="312"/>
      <c r="I642" s="312"/>
      <c r="J642" s="312"/>
      <c r="K642" s="312"/>
    </row>
    <row r="643" customFormat="false" ht="15" hidden="true" customHeight="false" outlineLevel="0" collapsed="false">
      <c r="A643" s="312"/>
      <c r="B643" s="312"/>
      <c r="C643" s="312"/>
      <c r="D643" s="312"/>
      <c r="E643" s="312"/>
      <c r="F643" s="312"/>
      <c r="G643" s="312"/>
      <c r="H643" s="312"/>
      <c r="I643" s="312"/>
      <c r="J643" s="312"/>
      <c r="K643" s="312"/>
    </row>
    <row r="644" customFormat="false" ht="15" hidden="true" customHeight="false" outlineLevel="0" collapsed="false">
      <c r="A644" s="312"/>
      <c r="B644" s="312"/>
      <c r="C644" s="312"/>
      <c r="D644" s="312"/>
      <c r="E644" s="312"/>
      <c r="F644" s="312"/>
      <c r="G644" s="312"/>
      <c r="H644" s="312"/>
      <c r="I644" s="312"/>
      <c r="J644" s="312"/>
      <c r="K644" s="312"/>
    </row>
    <row r="645" customFormat="false" ht="15" hidden="true" customHeight="false" outlineLevel="0" collapsed="false">
      <c r="A645" s="312"/>
      <c r="B645" s="312"/>
      <c r="C645" s="312"/>
      <c r="D645" s="312"/>
      <c r="E645" s="312"/>
      <c r="F645" s="312"/>
      <c r="G645" s="312"/>
      <c r="H645" s="312"/>
      <c r="I645" s="312"/>
      <c r="J645" s="312"/>
      <c r="K645" s="312"/>
    </row>
    <row r="646" customFormat="false" ht="15" hidden="true" customHeight="false" outlineLevel="0" collapsed="false">
      <c r="A646" s="312"/>
      <c r="B646" s="312"/>
      <c r="C646" s="312"/>
      <c r="D646" s="312"/>
      <c r="E646" s="312"/>
      <c r="F646" s="312"/>
      <c r="G646" s="312"/>
      <c r="H646" s="312"/>
      <c r="I646" s="312"/>
      <c r="J646" s="312"/>
      <c r="K646" s="312"/>
    </row>
    <row r="647" customFormat="false" ht="15" hidden="true" customHeight="false" outlineLevel="0" collapsed="false">
      <c r="A647" s="312"/>
      <c r="B647" s="312"/>
      <c r="C647" s="312"/>
      <c r="D647" s="312"/>
      <c r="E647" s="312"/>
      <c r="F647" s="312"/>
      <c r="G647" s="312"/>
      <c r="H647" s="312"/>
      <c r="I647" s="312"/>
      <c r="J647" s="312"/>
      <c r="K647" s="312"/>
    </row>
    <row r="648" customFormat="false" ht="15" hidden="true" customHeight="false" outlineLevel="0" collapsed="false">
      <c r="A648" s="312"/>
      <c r="B648" s="312"/>
      <c r="C648" s="312"/>
      <c r="D648" s="312"/>
      <c r="E648" s="312"/>
      <c r="F648" s="312"/>
      <c r="G648" s="312"/>
      <c r="H648" s="312"/>
      <c r="I648" s="312"/>
      <c r="J648" s="312"/>
      <c r="K648" s="312"/>
    </row>
    <row r="649" customFormat="false" ht="15" hidden="true" customHeight="false" outlineLevel="0" collapsed="false">
      <c r="A649" s="312"/>
      <c r="B649" s="312"/>
      <c r="C649" s="312"/>
      <c r="D649" s="312"/>
      <c r="E649" s="312"/>
      <c r="F649" s="312"/>
      <c r="G649" s="312"/>
      <c r="H649" s="312"/>
      <c r="I649" s="312"/>
      <c r="J649" s="312"/>
      <c r="K649" s="312"/>
    </row>
    <row r="650" customFormat="false" ht="15" hidden="true" customHeight="false" outlineLevel="0" collapsed="false">
      <c r="A650" s="312"/>
      <c r="B650" s="312"/>
      <c r="C650" s="312"/>
      <c r="D650" s="312"/>
      <c r="E650" s="312"/>
      <c r="F650" s="312"/>
      <c r="G650" s="312"/>
      <c r="H650" s="312"/>
      <c r="I650" s="312"/>
      <c r="J650" s="312"/>
      <c r="K650" s="312"/>
    </row>
    <row r="651" customFormat="false" ht="15" hidden="true" customHeight="false" outlineLevel="0" collapsed="false">
      <c r="A651" s="312"/>
      <c r="B651" s="312"/>
      <c r="C651" s="312"/>
      <c r="D651" s="312"/>
      <c r="E651" s="312"/>
      <c r="F651" s="312"/>
      <c r="G651" s="312"/>
      <c r="H651" s="312"/>
      <c r="I651" s="312"/>
      <c r="J651" s="312"/>
      <c r="K651" s="312"/>
    </row>
    <row r="652" customFormat="false" ht="15" hidden="true" customHeight="false" outlineLevel="0" collapsed="false">
      <c r="A652" s="312"/>
      <c r="B652" s="312"/>
      <c r="C652" s="312"/>
      <c r="D652" s="312"/>
      <c r="E652" s="312"/>
      <c r="F652" s="312"/>
      <c r="G652" s="312"/>
      <c r="H652" s="312"/>
      <c r="I652" s="312"/>
      <c r="J652" s="312"/>
      <c r="K652" s="312"/>
    </row>
    <row r="653" customFormat="false" ht="15" hidden="true" customHeight="false" outlineLevel="0" collapsed="false">
      <c r="A653" s="312"/>
      <c r="B653" s="312"/>
      <c r="C653" s="312"/>
      <c r="D653" s="312"/>
      <c r="E653" s="312"/>
      <c r="F653" s="312"/>
      <c r="G653" s="312"/>
      <c r="H653" s="312"/>
      <c r="I653" s="312"/>
      <c r="J653" s="312"/>
      <c r="K653" s="312"/>
    </row>
    <row r="654" customFormat="false" ht="15" hidden="true" customHeight="false" outlineLevel="0" collapsed="false">
      <c r="A654" s="312"/>
      <c r="B654" s="312"/>
      <c r="C654" s="312"/>
      <c r="D654" s="312"/>
      <c r="E654" s="312"/>
      <c r="F654" s="312"/>
      <c r="G654" s="312"/>
      <c r="H654" s="312"/>
      <c r="I654" s="312"/>
      <c r="J654" s="312"/>
      <c r="K654" s="312"/>
    </row>
    <row r="655" customFormat="false" ht="15" hidden="true" customHeight="false" outlineLevel="0" collapsed="false">
      <c r="A655" s="312"/>
      <c r="B655" s="312"/>
      <c r="C655" s="312"/>
      <c r="D655" s="312"/>
      <c r="E655" s="312"/>
      <c r="F655" s="312"/>
      <c r="G655" s="312"/>
      <c r="H655" s="312"/>
      <c r="I655" s="312"/>
      <c r="J655" s="312"/>
      <c r="K655" s="312"/>
    </row>
    <row r="656" customFormat="false" ht="15" hidden="true" customHeight="false" outlineLevel="0" collapsed="false">
      <c r="A656" s="312"/>
      <c r="B656" s="312"/>
      <c r="C656" s="312"/>
      <c r="D656" s="312"/>
      <c r="E656" s="312"/>
      <c r="F656" s="312"/>
      <c r="G656" s="312"/>
      <c r="H656" s="312"/>
      <c r="I656" s="312"/>
      <c r="J656" s="312"/>
      <c r="K656" s="312"/>
    </row>
    <row r="657" customFormat="false" ht="15" hidden="true" customHeight="false" outlineLevel="0" collapsed="false">
      <c r="A657" s="312"/>
      <c r="B657" s="312"/>
      <c r="C657" s="312"/>
      <c r="D657" s="312"/>
      <c r="E657" s="312"/>
      <c r="F657" s="312"/>
      <c r="G657" s="312"/>
      <c r="H657" s="312"/>
      <c r="I657" s="312"/>
      <c r="J657" s="312"/>
      <c r="K657" s="312"/>
    </row>
    <row r="658" customFormat="false" ht="15" hidden="true" customHeight="false" outlineLevel="0" collapsed="false">
      <c r="A658" s="312"/>
      <c r="B658" s="312"/>
      <c r="C658" s="312"/>
      <c r="D658" s="312"/>
      <c r="E658" s="312"/>
      <c r="F658" s="312"/>
      <c r="G658" s="312"/>
      <c r="H658" s="312"/>
      <c r="I658" s="312"/>
      <c r="J658" s="312"/>
      <c r="K658" s="312"/>
    </row>
    <row r="659" customFormat="false" ht="15" hidden="true" customHeight="false" outlineLevel="0" collapsed="false">
      <c r="A659" s="312"/>
      <c r="B659" s="312"/>
      <c r="C659" s="312"/>
      <c r="D659" s="312"/>
      <c r="E659" s="312"/>
      <c r="F659" s="312"/>
      <c r="G659" s="312"/>
      <c r="H659" s="312"/>
      <c r="I659" s="312"/>
      <c r="J659" s="312"/>
      <c r="K659" s="312"/>
    </row>
    <row r="660" customFormat="false" ht="15" hidden="true" customHeight="false" outlineLevel="0" collapsed="false">
      <c r="A660" s="312"/>
      <c r="B660" s="312"/>
      <c r="C660" s="312"/>
      <c r="D660" s="312"/>
      <c r="E660" s="312"/>
      <c r="F660" s="312"/>
      <c r="G660" s="312"/>
      <c r="H660" s="312"/>
      <c r="I660" s="312"/>
      <c r="J660" s="312"/>
      <c r="K660" s="312"/>
    </row>
    <row r="661" customFormat="false" ht="15" hidden="true" customHeight="false" outlineLevel="0" collapsed="false">
      <c r="A661" s="312"/>
      <c r="B661" s="312"/>
      <c r="C661" s="312"/>
      <c r="D661" s="312"/>
      <c r="E661" s="312"/>
      <c r="F661" s="312"/>
      <c r="G661" s="312"/>
      <c r="H661" s="312"/>
      <c r="I661" s="312"/>
      <c r="J661" s="312"/>
      <c r="K661" s="312"/>
    </row>
    <row r="662" customFormat="false" ht="15" hidden="true" customHeight="false" outlineLevel="0" collapsed="false">
      <c r="A662" s="312"/>
      <c r="B662" s="312"/>
      <c r="C662" s="312"/>
      <c r="D662" s="312"/>
      <c r="E662" s="312"/>
      <c r="F662" s="312"/>
      <c r="G662" s="312"/>
      <c r="H662" s="312"/>
      <c r="I662" s="312"/>
      <c r="J662" s="312"/>
      <c r="K662" s="312"/>
    </row>
    <row r="663" customFormat="false" ht="15" hidden="true" customHeight="false" outlineLevel="0" collapsed="false">
      <c r="A663" s="312"/>
      <c r="B663" s="312"/>
      <c r="C663" s="312"/>
      <c r="D663" s="312"/>
      <c r="E663" s="312"/>
      <c r="F663" s="312"/>
      <c r="G663" s="312"/>
      <c r="H663" s="312"/>
      <c r="I663" s="312"/>
      <c r="J663" s="312"/>
      <c r="K663" s="312"/>
    </row>
    <row r="664" customFormat="false" ht="15" hidden="true" customHeight="false" outlineLevel="0" collapsed="false">
      <c r="A664" s="312"/>
      <c r="B664" s="312"/>
      <c r="C664" s="312"/>
      <c r="D664" s="312"/>
      <c r="E664" s="312"/>
      <c r="F664" s="312"/>
      <c r="G664" s="312"/>
      <c r="H664" s="312"/>
      <c r="I664" s="312"/>
      <c r="J664" s="312"/>
      <c r="K664" s="312"/>
    </row>
    <row r="665" customFormat="false" ht="15" hidden="true" customHeight="false" outlineLevel="0" collapsed="false">
      <c r="A665" s="312"/>
      <c r="B665" s="312"/>
      <c r="C665" s="312"/>
      <c r="D665" s="312"/>
      <c r="E665" s="312"/>
      <c r="F665" s="312"/>
      <c r="G665" s="312"/>
      <c r="H665" s="312"/>
      <c r="I665" s="312"/>
      <c r="J665" s="312"/>
      <c r="K665" s="312"/>
    </row>
    <row r="666" customFormat="false" ht="15" hidden="true" customHeight="false" outlineLevel="0" collapsed="false">
      <c r="A666" s="312"/>
      <c r="B666" s="312"/>
      <c r="C666" s="312"/>
      <c r="D666" s="312"/>
      <c r="E666" s="312"/>
      <c r="F666" s="312"/>
      <c r="G666" s="312"/>
      <c r="H666" s="312"/>
      <c r="I666" s="312"/>
      <c r="J666" s="312"/>
      <c r="K666" s="312"/>
    </row>
    <row r="667" customFormat="false" ht="15" hidden="true" customHeight="false" outlineLevel="0" collapsed="false">
      <c r="A667" s="312"/>
      <c r="B667" s="312"/>
      <c r="C667" s="312"/>
      <c r="D667" s="312"/>
      <c r="E667" s="312"/>
      <c r="F667" s="312"/>
      <c r="G667" s="312"/>
      <c r="H667" s="312"/>
      <c r="I667" s="312"/>
      <c r="J667" s="312"/>
      <c r="K667" s="312"/>
    </row>
    <row r="668" customFormat="false" ht="15" hidden="true" customHeight="false" outlineLevel="0" collapsed="false">
      <c r="A668" s="312"/>
      <c r="B668" s="312"/>
      <c r="C668" s="312"/>
      <c r="D668" s="312"/>
      <c r="E668" s="312"/>
      <c r="F668" s="312"/>
      <c r="G668" s="312"/>
      <c r="H668" s="312"/>
      <c r="I668" s="312"/>
      <c r="J668" s="312"/>
      <c r="K668" s="312"/>
    </row>
    <row r="669" customFormat="false" ht="15" hidden="true" customHeight="false" outlineLevel="0" collapsed="false">
      <c r="A669" s="312"/>
      <c r="B669" s="312"/>
      <c r="C669" s="312"/>
      <c r="D669" s="312"/>
      <c r="E669" s="312"/>
      <c r="F669" s="312"/>
      <c r="G669" s="312"/>
      <c r="H669" s="312"/>
      <c r="I669" s="312"/>
      <c r="J669" s="312"/>
      <c r="K669" s="312"/>
    </row>
    <row r="670" customFormat="false" ht="15" hidden="true" customHeight="false" outlineLevel="0" collapsed="false">
      <c r="A670" s="312"/>
      <c r="B670" s="312"/>
      <c r="C670" s="312"/>
      <c r="D670" s="312"/>
      <c r="E670" s="312"/>
      <c r="F670" s="312"/>
      <c r="G670" s="312"/>
      <c r="H670" s="312"/>
      <c r="I670" s="312"/>
      <c r="J670" s="312"/>
      <c r="K670" s="312"/>
    </row>
    <row r="671" customFormat="false" ht="15" hidden="true" customHeight="false" outlineLevel="0" collapsed="false">
      <c r="A671" s="312"/>
      <c r="B671" s="312"/>
      <c r="C671" s="312"/>
      <c r="D671" s="312"/>
      <c r="E671" s="312"/>
      <c r="F671" s="312"/>
      <c r="G671" s="312"/>
      <c r="H671" s="312"/>
      <c r="I671" s="312"/>
      <c r="J671" s="312"/>
      <c r="K671" s="312"/>
    </row>
    <row r="672" customFormat="false" ht="15" hidden="true" customHeight="false" outlineLevel="0" collapsed="false">
      <c r="A672" s="312"/>
      <c r="B672" s="312"/>
      <c r="C672" s="312"/>
      <c r="D672" s="312"/>
      <c r="E672" s="312"/>
      <c r="F672" s="312"/>
      <c r="G672" s="312"/>
      <c r="H672" s="312"/>
      <c r="I672" s="312"/>
      <c r="J672" s="312"/>
      <c r="K672" s="312"/>
    </row>
    <row r="673" customFormat="false" ht="15" hidden="true" customHeight="false" outlineLevel="0" collapsed="false">
      <c r="A673" s="312"/>
      <c r="B673" s="312"/>
      <c r="C673" s="312"/>
      <c r="D673" s="312"/>
      <c r="E673" s="312"/>
      <c r="F673" s="312"/>
      <c r="G673" s="312"/>
      <c r="H673" s="312"/>
      <c r="I673" s="312"/>
      <c r="J673" s="312"/>
      <c r="K673" s="312"/>
    </row>
    <row r="674" customFormat="false" ht="15" hidden="true" customHeight="false" outlineLevel="0" collapsed="false">
      <c r="A674" s="312"/>
      <c r="B674" s="312"/>
      <c r="C674" s="312"/>
      <c r="D674" s="312"/>
      <c r="E674" s="312"/>
      <c r="F674" s="312"/>
      <c r="G674" s="312"/>
      <c r="H674" s="312"/>
      <c r="I674" s="312"/>
      <c r="J674" s="312"/>
      <c r="K674" s="312"/>
    </row>
    <row r="675" customFormat="false" ht="15" hidden="true" customHeight="false" outlineLevel="0" collapsed="false">
      <c r="A675" s="312"/>
      <c r="B675" s="312"/>
      <c r="C675" s="312"/>
      <c r="D675" s="312"/>
      <c r="E675" s="312"/>
      <c r="F675" s="312"/>
      <c r="G675" s="312"/>
      <c r="H675" s="312"/>
      <c r="I675" s="312"/>
      <c r="J675" s="312"/>
      <c r="K675" s="312"/>
    </row>
    <row r="676" customFormat="false" ht="15" hidden="true" customHeight="false" outlineLevel="0" collapsed="false">
      <c r="A676" s="312"/>
      <c r="B676" s="312"/>
      <c r="C676" s="312"/>
      <c r="D676" s="312"/>
      <c r="E676" s="312"/>
      <c r="F676" s="312"/>
      <c r="G676" s="312"/>
      <c r="H676" s="312"/>
      <c r="I676" s="312"/>
      <c r="J676" s="312"/>
      <c r="K676" s="312"/>
    </row>
    <row r="677" customFormat="false" ht="15" hidden="true" customHeight="false" outlineLevel="0" collapsed="false">
      <c r="A677" s="312"/>
      <c r="B677" s="312"/>
      <c r="C677" s="312"/>
      <c r="D677" s="312"/>
      <c r="E677" s="312"/>
      <c r="F677" s="312"/>
      <c r="G677" s="312"/>
      <c r="H677" s="312"/>
      <c r="I677" s="312"/>
      <c r="J677" s="312"/>
      <c r="K677" s="312"/>
    </row>
    <row r="678" customFormat="false" ht="15" hidden="true" customHeight="false" outlineLevel="0" collapsed="false">
      <c r="A678" s="312"/>
      <c r="B678" s="312"/>
      <c r="C678" s="312"/>
      <c r="D678" s="312"/>
      <c r="E678" s="312"/>
      <c r="F678" s="312"/>
      <c r="G678" s="312"/>
      <c r="H678" s="312"/>
      <c r="I678" s="312"/>
      <c r="J678" s="312"/>
      <c r="K678" s="312"/>
    </row>
    <row r="679" customFormat="false" ht="15" hidden="true" customHeight="false" outlineLevel="0" collapsed="false">
      <c r="A679" s="312"/>
      <c r="B679" s="312"/>
      <c r="C679" s="312"/>
      <c r="D679" s="312"/>
      <c r="E679" s="312"/>
      <c r="F679" s="312"/>
      <c r="G679" s="312"/>
      <c r="H679" s="312"/>
      <c r="I679" s="312"/>
      <c r="J679" s="312"/>
      <c r="K679" s="312"/>
    </row>
    <row r="680" customFormat="false" ht="15" hidden="true" customHeight="false" outlineLevel="0" collapsed="false">
      <c r="A680" s="312"/>
      <c r="B680" s="312"/>
      <c r="C680" s="312"/>
      <c r="D680" s="312"/>
      <c r="E680" s="312"/>
      <c r="F680" s="312"/>
      <c r="G680" s="312"/>
      <c r="H680" s="312"/>
      <c r="I680" s="312"/>
      <c r="J680" s="312"/>
      <c r="K680" s="312"/>
    </row>
    <row r="681" customFormat="false" ht="15" hidden="true" customHeight="false" outlineLevel="0" collapsed="false">
      <c r="A681" s="312"/>
      <c r="B681" s="312"/>
      <c r="C681" s="312"/>
      <c r="D681" s="312"/>
      <c r="E681" s="312"/>
      <c r="F681" s="312"/>
      <c r="G681" s="312"/>
      <c r="H681" s="312"/>
      <c r="I681" s="312"/>
      <c r="J681" s="312"/>
      <c r="K681" s="312"/>
    </row>
    <row r="682" customFormat="false" ht="15" hidden="true" customHeight="false" outlineLevel="0" collapsed="false">
      <c r="A682" s="312"/>
      <c r="B682" s="312"/>
      <c r="C682" s="312"/>
      <c r="D682" s="312"/>
      <c r="E682" s="312"/>
      <c r="F682" s="312"/>
      <c r="G682" s="312"/>
      <c r="H682" s="312"/>
      <c r="I682" s="312"/>
      <c r="J682" s="312"/>
      <c r="K682" s="312"/>
    </row>
    <row r="683" customFormat="false" ht="15" hidden="true" customHeight="false" outlineLevel="0" collapsed="false">
      <c r="A683" s="312"/>
      <c r="B683" s="312"/>
      <c r="C683" s="312"/>
      <c r="D683" s="312"/>
      <c r="E683" s="312"/>
      <c r="F683" s="312"/>
      <c r="G683" s="312"/>
      <c r="H683" s="312"/>
      <c r="I683" s="312"/>
      <c r="J683" s="312"/>
      <c r="K683" s="312"/>
    </row>
    <row r="684" customFormat="false" ht="15" hidden="true" customHeight="false" outlineLevel="0" collapsed="false">
      <c r="A684" s="312"/>
      <c r="B684" s="312"/>
      <c r="C684" s="312"/>
      <c r="D684" s="312"/>
      <c r="E684" s="312"/>
      <c r="F684" s="312"/>
      <c r="G684" s="312"/>
      <c r="H684" s="312"/>
      <c r="I684" s="312"/>
      <c r="J684" s="312"/>
      <c r="K684" s="312"/>
    </row>
    <row r="685" customFormat="false" ht="15" hidden="true" customHeight="false" outlineLevel="0" collapsed="false">
      <c r="A685" s="312"/>
      <c r="B685" s="312"/>
      <c r="C685" s="312"/>
      <c r="D685" s="312"/>
      <c r="E685" s="312"/>
      <c r="F685" s="312"/>
      <c r="G685" s="312"/>
      <c r="H685" s="312"/>
      <c r="I685" s="312"/>
      <c r="J685" s="312"/>
      <c r="K685" s="312"/>
    </row>
    <row r="686" customFormat="false" ht="15" hidden="true" customHeight="false" outlineLevel="0" collapsed="false">
      <c r="A686" s="312"/>
      <c r="B686" s="312"/>
      <c r="C686" s="312"/>
      <c r="D686" s="312"/>
      <c r="E686" s="312"/>
      <c r="F686" s="312"/>
      <c r="G686" s="312"/>
      <c r="H686" s="312"/>
      <c r="I686" s="312"/>
      <c r="J686" s="312"/>
      <c r="K686" s="312"/>
    </row>
    <row r="687" customFormat="false" ht="15" hidden="true" customHeight="false" outlineLevel="0" collapsed="false">
      <c r="A687" s="312"/>
      <c r="B687" s="312"/>
      <c r="C687" s="312"/>
      <c r="D687" s="312"/>
      <c r="E687" s="312"/>
      <c r="F687" s="312"/>
      <c r="G687" s="312"/>
      <c r="H687" s="312"/>
      <c r="I687" s="312"/>
      <c r="J687" s="312"/>
      <c r="K687" s="312"/>
    </row>
    <row r="688" customFormat="false" ht="15" hidden="true" customHeight="false" outlineLevel="0" collapsed="false">
      <c r="A688" s="312"/>
      <c r="B688" s="312"/>
      <c r="C688" s="312"/>
      <c r="D688" s="312"/>
      <c r="E688" s="312"/>
      <c r="F688" s="312"/>
      <c r="G688" s="312"/>
      <c r="H688" s="312"/>
      <c r="I688" s="312"/>
      <c r="J688" s="312"/>
      <c r="K688" s="312"/>
    </row>
    <row r="689" customFormat="false" ht="15" hidden="true" customHeight="false" outlineLevel="0" collapsed="false">
      <c r="A689" s="312"/>
      <c r="B689" s="312"/>
      <c r="C689" s="312"/>
      <c r="D689" s="312"/>
      <c r="E689" s="312"/>
      <c r="F689" s="312"/>
      <c r="G689" s="312"/>
      <c r="H689" s="312"/>
      <c r="I689" s="312"/>
      <c r="J689" s="312"/>
      <c r="K689" s="312"/>
    </row>
    <row r="690" customFormat="false" ht="15" hidden="true" customHeight="false" outlineLevel="0" collapsed="false">
      <c r="A690" s="312"/>
      <c r="B690" s="312"/>
      <c r="C690" s="312"/>
      <c r="D690" s="312"/>
      <c r="E690" s="312"/>
      <c r="F690" s="312"/>
      <c r="G690" s="312"/>
      <c r="H690" s="312"/>
      <c r="I690" s="312"/>
      <c r="J690" s="312"/>
      <c r="K690" s="312"/>
    </row>
    <row r="691" customFormat="false" ht="15" hidden="true" customHeight="false" outlineLevel="0" collapsed="false">
      <c r="A691" s="312"/>
      <c r="B691" s="312"/>
      <c r="C691" s="312"/>
      <c r="D691" s="312"/>
      <c r="E691" s="312"/>
      <c r="F691" s="312"/>
      <c r="G691" s="312"/>
      <c r="H691" s="312"/>
      <c r="I691" s="312"/>
      <c r="J691" s="312"/>
      <c r="K691" s="312"/>
    </row>
    <row r="692" customFormat="false" ht="15" hidden="true" customHeight="false" outlineLevel="0" collapsed="false">
      <c r="A692" s="312"/>
      <c r="B692" s="312"/>
      <c r="C692" s="312"/>
      <c r="D692" s="312"/>
      <c r="E692" s="312"/>
      <c r="F692" s="312"/>
      <c r="G692" s="312"/>
      <c r="H692" s="312"/>
      <c r="I692" s="312"/>
      <c r="J692" s="312"/>
      <c r="K692" s="312"/>
    </row>
    <row r="693" customFormat="false" ht="15" hidden="true" customHeight="false" outlineLevel="0" collapsed="false">
      <c r="A693" s="312"/>
      <c r="B693" s="312"/>
      <c r="C693" s="312"/>
      <c r="D693" s="312"/>
      <c r="E693" s="312"/>
      <c r="F693" s="312"/>
      <c r="G693" s="312"/>
      <c r="H693" s="312"/>
      <c r="I693" s="312"/>
      <c r="J693" s="312"/>
      <c r="K693" s="312"/>
    </row>
    <row r="694" customFormat="false" ht="15" hidden="true" customHeight="false" outlineLevel="0" collapsed="false">
      <c r="A694" s="312"/>
      <c r="B694" s="312"/>
      <c r="C694" s="312"/>
      <c r="D694" s="312"/>
      <c r="E694" s="312"/>
      <c r="F694" s="312"/>
      <c r="G694" s="312"/>
      <c r="H694" s="312"/>
      <c r="I694" s="312"/>
      <c r="J694" s="312"/>
      <c r="K694" s="312"/>
    </row>
    <row r="695" customFormat="false" ht="15" hidden="true" customHeight="false" outlineLevel="0" collapsed="false">
      <c r="A695" s="312"/>
      <c r="B695" s="312"/>
      <c r="C695" s="312"/>
      <c r="D695" s="312"/>
      <c r="E695" s="312"/>
      <c r="F695" s="312"/>
      <c r="G695" s="312"/>
      <c r="H695" s="312"/>
      <c r="I695" s="312"/>
      <c r="J695" s="312"/>
      <c r="K695" s="312"/>
    </row>
    <row r="696" customFormat="false" ht="15" hidden="true" customHeight="false" outlineLevel="0" collapsed="false">
      <c r="A696" s="312"/>
      <c r="B696" s="312"/>
      <c r="C696" s="312"/>
      <c r="D696" s="312"/>
      <c r="E696" s="312"/>
      <c r="F696" s="312"/>
      <c r="G696" s="312"/>
      <c r="H696" s="312"/>
      <c r="I696" s="312"/>
      <c r="J696" s="312"/>
      <c r="K696" s="312"/>
    </row>
    <row r="697" customFormat="false" ht="15" hidden="true" customHeight="false" outlineLevel="0" collapsed="false">
      <c r="A697" s="312"/>
      <c r="B697" s="312"/>
      <c r="C697" s="312"/>
      <c r="D697" s="312"/>
      <c r="E697" s="312"/>
      <c r="F697" s="312"/>
      <c r="G697" s="312"/>
      <c r="H697" s="312"/>
      <c r="I697" s="312"/>
      <c r="J697" s="312"/>
      <c r="K697" s="312"/>
    </row>
    <row r="698" customFormat="false" ht="15" hidden="true" customHeight="false" outlineLevel="0" collapsed="false">
      <c r="A698" s="312"/>
      <c r="B698" s="312"/>
      <c r="C698" s="312"/>
      <c r="D698" s="312"/>
      <c r="E698" s="312"/>
      <c r="F698" s="312"/>
      <c r="G698" s="312"/>
      <c r="H698" s="312"/>
      <c r="I698" s="312"/>
      <c r="J698" s="312"/>
      <c r="K698" s="312"/>
    </row>
    <row r="699" customFormat="false" ht="15" hidden="true" customHeight="false" outlineLevel="0" collapsed="false">
      <c r="A699" s="312"/>
      <c r="B699" s="312"/>
      <c r="C699" s="312"/>
      <c r="D699" s="312"/>
      <c r="E699" s="312"/>
      <c r="F699" s="312"/>
      <c r="G699" s="312"/>
      <c r="H699" s="312"/>
      <c r="I699" s="312"/>
      <c r="J699" s="312"/>
      <c r="K699" s="312"/>
    </row>
    <row r="700" customFormat="false" ht="15" hidden="true" customHeight="false" outlineLevel="0" collapsed="false">
      <c r="A700" s="312"/>
      <c r="B700" s="312"/>
      <c r="C700" s="312"/>
      <c r="D700" s="312"/>
      <c r="E700" s="312"/>
      <c r="F700" s="312"/>
      <c r="G700" s="312"/>
      <c r="H700" s="312"/>
      <c r="I700" s="312"/>
      <c r="J700" s="312"/>
      <c r="K700" s="312"/>
    </row>
    <row r="701" customFormat="false" ht="15" hidden="true" customHeight="false" outlineLevel="0" collapsed="false">
      <c r="A701" s="312"/>
      <c r="B701" s="312"/>
      <c r="C701" s="312"/>
      <c r="D701" s="312"/>
      <c r="E701" s="312"/>
      <c r="F701" s="312"/>
      <c r="G701" s="312"/>
      <c r="H701" s="312"/>
      <c r="I701" s="312"/>
      <c r="J701" s="312"/>
      <c r="K701" s="312"/>
    </row>
    <row r="702" customFormat="false" ht="15" hidden="true" customHeight="false" outlineLevel="0" collapsed="false">
      <c r="A702" s="312"/>
      <c r="B702" s="312"/>
      <c r="C702" s="312"/>
      <c r="D702" s="312"/>
      <c r="E702" s="312"/>
      <c r="F702" s="312"/>
      <c r="G702" s="312"/>
      <c r="H702" s="312"/>
      <c r="I702" s="312"/>
      <c r="J702" s="312"/>
      <c r="K702" s="312"/>
    </row>
    <row r="703" customFormat="false" ht="15" hidden="true" customHeight="false" outlineLevel="0" collapsed="false">
      <c r="A703" s="312"/>
      <c r="B703" s="312"/>
      <c r="C703" s="312"/>
      <c r="D703" s="312"/>
      <c r="E703" s="312"/>
      <c r="F703" s="312"/>
      <c r="G703" s="312"/>
      <c r="H703" s="312"/>
      <c r="I703" s="312"/>
      <c r="J703" s="312"/>
      <c r="K703" s="312"/>
    </row>
    <row r="704" customFormat="false" ht="15" hidden="true" customHeight="false" outlineLevel="0" collapsed="false">
      <c r="A704" s="312"/>
      <c r="B704" s="312"/>
      <c r="C704" s="312"/>
      <c r="D704" s="312"/>
      <c r="E704" s="312"/>
      <c r="F704" s="312"/>
      <c r="G704" s="312"/>
      <c r="H704" s="312"/>
      <c r="I704" s="312"/>
      <c r="J704" s="312"/>
      <c r="K704" s="312"/>
    </row>
    <row r="705" customFormat="false" ht="15" hidden="true" customHeight="false" outlineLevel="0" collapsed="false">
      <c r="A705" s="312"/>
      <c r="B705" s="312"/>
      <c r="C705" s="312"/>
      <c r="D705" s="312"/>
      <c r="E705" s="312"/>
      <c r="F705" s="312"/>
      <c r="G705" s="312"/>
      <c r="H705" s="312"/>
      <c r="I705" s="312"/>
      <c r="J705" s="312"/>
      <c r="K705" s="312"/>
    </row>
    <row r="706" customFormat="false" ht="15" hidden="true" customHeight="false" outlineLevel="0" collapsed="false">
      <c r="A706" s="312"/>
      <c r="B706" s="312"/>
      <c r="C706" s="312"/>
      <c r="D706" s="312"/>
      <c r="E706" s="312"/>
      <c r="F706" s="312"/>
      <c r="G706" s="312"/>
      <c r="H706" s="312"/>
      <c r="I706" s="312"/>
      <c r="J706" s="312"/>
      <c r="K706" s="312"/>
    </row>
    <row r="707" customFormat="false" ht="15" hidden="true" customHeight="false" outlineLevel="0" collapsed="false">
      <c r="A707" s="312"/>
      <c r="B707" s="312"/>
      <c r="C707" s="312"/>
      <c r="D707" s="312"/>
      <c r="E707" s="312"/>
      <c r="F707" s="312"/>
      <c r="G707" s="312"/>
      <c r="H707" s="312"/>
      <c r="I707" s="312"/>
      <c r="J707" s="312"/>
      <c r="K707" s="312"/>
    </row>
    <row r="708" customFormat="false" ht="15" hidden="true" customHeight="false" outlineLevel="0" collapsed="false">
      <c r="A708" s="312"/>
      <c r="B708" s="312"/>
      <c r="C708" s="312"/>
      <c r="D708" s="312"/>
      <c r="E708" s="312"/>
      <c r="F708" s="312"/>
      <c r="G708" s="312"/>
      <c r="H708" s="312"/>
      <c r="I708" s="312"/>
      <c r="J708" s="312"/>
      <c r="K708" s="312"/>
    </row>
    <row r="709" customFormat="false" ht="15" hidden="true" customHeight="false" outlineLevel="0" collapsed="false">
      <c r="A709" s="312"/>
      <c r="B709" s="312"/>
      <c r="C709" s="312"/>
      <c r="D709" s="312"/>
      <c r="E709" s="312"/>
      <c r="F709" s="312"/>
      <c r="G709" s="312"/>
      <c r="H709" s="312"/>
      <c r="I709" s="312"/>
      <c r="J709" s="312"/>
      <c r="K709" s="312"/>
    </row>
    <row r="710" customFormat="false" ht="15" hidden="true" customHeight="false" outlineLevel="0" collapsed="false">
      <c r="A710" s="312"/>
      <c r="B710" s="312"/>
      <c r="C710" s="312"/>
      <c r="D710" s="312"/>
      <c r="E710" s="312"/>
      <c r="F710" s="312"/>
      <c r="G710" s="312"/>
      <c r="H710" s="312"/>
      <c r="I710" s="312"/>
      <c r="J710" s="312"/>
      <c r="K710" s="312"/>
    </row>
    <row r="711" customFormat="false" ht="15" hidden="true" customHeight="false" outlineLevel="0" collapsed="false">
      <c r="A711" s="312"/>
      <c r="B711" s="312"/>
      <c r="C711" s="312"/>
      <c r="D711" s="312"/>
      <c r="E711" s="312"/>
      <c r="F711" s="312"/>
      <c r="G711" s="312"/>
      <c r="H711" s="312"/>
      <c r="I711" s="312"/>
      <c r="J711" s="312"/>
      <c r="K711" s="312"/>
    </row>
    <row r="712" customFormat="false" ht="15" hidden="true" customHeight="false" outlineLevel="0" collapsed="false">
      <c r="A712" s="312"/>
      <c r="B712" s="312"/>
      <c r="C712" s="312"/>
      <c r="D712" s="312"/>
      <c r="E712" s="312"/>
      <c r="F712" s="312"/>
      <c r="G712" s="312"/>
      <c r="H712" s="312"/>
      <c r="I712" s="312"/>
      <c r="J712" s="312"/>
      <c r="K712" s="312"/>
    </row>
    <row r="713" customFormat="false" ht="15" hidden="true" customHeight="false" outlineLevel="0" collapsed="false">
      <c r="A713" s="312"/>
      <c r="B713" s="312"/>
      <c r="C713" s="312"/>
      <c r="D713" s="312"/>
      <c r="E713" s="312"/>
      <c r="F713" s="312"/>
      <c r="G713" s="312"/>
      <c r="H713" s="312"/>
      <c r="I713" s="312"/>
      <c r="J713" s="312"/>
      <c r="K713" s="312"/>
    </row>
    <row r="714" customFormat="false" ht="15" hidden="true" customHeight="false" outlineLevel="0" collapsed="false">
      <c r="A714" s="312"/>
      <c r="B714" s="312"/>
      <c r="C714" s="312"/>
      <c r="D714" s="312"/>
      <c r="E714" s="312"/>
      <c r="F714" s="312"/>
      <c r="G714" s="312"/>
      <c r="H714" s="312"/>
      <c r="I714" s="312"/>
      <c r="J714" s="312"/>
      <c r="K714" s="312"/>
    </row>
    <row r="715" customFormat="false" ht="15" hidden="true" customHeight="false" outlineLevel="0" collapsed="false">
      <c r="A715" s="312"/>
      <c r="B715" s="312"/>
      <c r="C715" s="312"/>
      <c r="D715" s="312"/>
      <c r="E715" s="312"/>
      <c r="F715" s="312"/>
      <c r="G715" s="312"/>
      <c r="H715" s="312"/>
      <c r="I715" s="312"/>
      <c r="J715" s="312"/>
      <c r="K715" s="312"/>
    </row>
    <row r="716" customFormat="false" ht="15" hidden="true" customHeight="false" outlineLevel="0" collapsed="false">
      <c r="A716" s="312"/>
      <c r="B716" s="312"/>
      <c r="C716" s="312"/>
      <c r="D716" s="312"/>
      <c r="E716" s="312"/>
      <c r="F716" s="312"/>
      <c r="G716" s="312"/>
      <c r="H716" s="312"/>
      <c r="I716" s="312"/>
      <c r="J716" s="312"/>
      <c r="K716" s="312"/>
    </row>
    <row r="717" customFormat="false" ht="15" hidden="true" customHeight="false" outlineLevel="0" collapsed="false">
      <c r="A717" s="312"/>
      <c r="B717" s="312"/>
      <c r="C717" s="312"/>
      <c r="D717" s="312"/>
      <c r="E717" s="312"/>
      <c r="F717" s="312"/>
      <c r="G717" s="312"/>
      <c r="H717" s="312"/>
      <c r="I717" s="312"/>
      <c r="J717" s="312"/>
      <c r="K717" s="312"/>
    </row>
    <row r="718" customFormat="false" ht="15" hidden="true" customHeight="false" outlineLevel="0" collapsed="false">
      <c r="A718" s="312"/>
      <c r="B718" s="312"/>
      <c r="C718" s="312"/>
      <c r="D718" s="312"/>
      <c r="E718" s="312"/>
      <c r="F718" s="312"/>
      <c r="G718" s="312"/>
      <c r="H718" s="312"/>
      <c r="I718" s="312"/>
      <c r="J718" s="312"/>
      <c r="K718" s="312"/>
    </row>
    <row r="719" customFormat="false" ht="15" hidden="true" customHeight="false" outlineLevel="0" collapsed="false">
      <c r="A719" s="312"/>
      <c r="B719" s="312"/>
      <c r="C719" s="312"/>
      <c r="D719" s="312"/>
      <c r="E719" s="312"/>
      <c r="F719" s="312"/>
      <c r="G719" s="312"/>
      <c r="H719" s="312"/>
      <c r="I719" s="312"/>
      <c r="J719" s="312"/>
      <c r="K719" s="312"/>
    </row>
    <row r="720" customFormat="false" ht="15" hidden="true" customHeight="false" outlineLevel="0" collapsed="false">
      <c r="A720" s="312"/>
      <c r="B720" s="312"/>
      <c r="C720" s="312"/>
      <c r="D720" s="312"/>
      <c r="E720" s="312"/>
      <c r="F720" s="312"/>
      <c r="G720" s="312"/>
      <c r="H720" s="312"/>
      <c r="I720" s="312"/>
      <c r="J720" s="312"/>
      <c r="K720" s="312"/>
    </row>
    <row r="721" customFormat="false" ht="15" hidden="true" customHeight="false" outlineLevel="0" collapsed="false">
      <c r="A721" s="312"/>
      <c r="B721" s="312"/>
      <c r="C721" s="312"/>
      <c r="D721" s="312"/>
      <c r="E721" s="312"/>
      <c r="F721" s="312"/>
      <c r="G721" s="312"/>
      <c r="H721" s="312"/>
      <c r="I721" s="312"/>
      <c r="J721" s="312"/>
      <c r="K721" s="312"/>
    </row>
    <row r="722" customFormat="false" ht="15" hidden="true" customHeight="false" outlineLevel="0" collapsed="false">
      <c r="A722" s="312"/>
      <c r="B722" s="312"/>
      <c r="C722" s="312"/>
      <c r="D722" s="312"/>
      <c r="E722" s="312"/>
      <c r="F722" s="312"/>
      <c r="G722" s="312"/>
      <c r="H722" s="312"/>
      <c r="I722" s="312"/>
      <c r="J722" s="312"/>
      <c r="K722" s="312"/>
    </row>
    <row r="723" customFormat="false" ht="15" hidden="true" customHeight="false" outlineLevel="0" collapsed="false">
      <c r="A723" s="312"/>
      <c r="B723" s="312"/>
      <c r="C723" s="312"/>
      <c r="D723" s="312"/>
      <c r="E723" s="312"/>
      <c r="F723" s="312"/>
      <c r="G723" s="312"/>
      <c r="H723" s="312"/>
      <c r="I723" s="312"/>
      <c r="J723" s="312"/>
      <c r="K723" s="312"/>
    </row>
    <row r="724" customFormat="false" ht="15" hidden="true" customHeight="false" outlineLevel="0" collapsed="false">
      <c r="A724" s="312"/>
      <c r="B724" s="312"/>
      <c r="C724" s="312"/>
      <c r="D724" s="312"/>
      <c r="E724" s="312"/>
      <c r="F724" s="312"/>
      <c r="G724" s="312"/>
      <c r="H724" s="312"/>
      <c r="I724" s="312"/>
      <c r="J724" s="312"/>
      <c r="K724" s="312"/>
    </row>
    <row r="725" customFormat="false" ht="15" hidden="true" customHeight="false" outlineLevel="0" collapsed="false">
      <c r="A725" s="312"/>
      <c r="B725" s="312"/>
      <c r="C725" s="312"/>
      <c r="D725" s="312"/>
      <c r="E725" s="312"/>
      <c r="F725" s="312"/>
      <c r="G725" s="312"/>
      <c r="H725" s="312"/>
      <c r="I725" s="312"/>
      <c r="J725" s="312"/>
      <c r="K725" s="312"/>
    </row>
    <row r="726" customFormat="false" ht="15" hidden="true" customHeight="false" outlineLevel="0" collapsed="false">
      <c r="A726" s="312"/>
      <c r="B726" s="312"/>
      <c r="C726" s="312"/>
      <c r="D726" s="312"/>
      <c r="E726" s="312"/>
      <c r="F726" s="312"/>
      <c r="G726" s="312"/>
      <c r="H726" s="312"/>
      <c r="I726" s="312"/>
      <c r="J726" s="312"/>
      <c r="K726" s="312"/>
    </row>
    <row r="727" customFormat="false" ht="15" hidden="true" customHeight="false" outlineLevel="0" collapsed="false">
      <c r="A727" s="312"/>
      <c r="B727" s="312"/>
      <c r="C727" s="312"/>
      <c r="D727" s="312"/>
      <c r="E727" s="312"/>
      <c r="F727" s="312"/>
      <c r="G727" s="312"/>
      <c r="H727" s="312"/>
      <c r="I727" s="312"/>
      <c r="J727" s="312"/>
      <c r="K727" s="312"/>
    </row>
    <row r="728" customFormat="false" ht="15" hidden="true" customHeight="false" outlineLevel="0" collapsed="false">
      <c r="A728" s="312"/>
      <c r="B728" s="312"/>
      <c r="C728" s="312"/>
      <c r="D728" s="312"/>
      <c r="E728" s="312"/>
      <c r="F728" s="312"/>
      <c r="G728" s="312"/>
      <c r="H728" s="312"/>
      <c r="I728" s="312"/>
      <c r="J728" s="312"/>
      <c r="K728" s="312"/>
    </row>
    <row r="729" customFormat="false" ht="15" hidden="true" customHeight="false" outlineLevel="0" collapsed="false">
      <c r="A729" s="312"/>
      <c r="B729" s="312"/>
      <c r="C729" s="312"/>
      <c r="D729" s="312"/>
      <c r="E729" s="312"/>
      <c r="F729" s="312"/>
      <c r="G729" s="312"/>
      <c r="H729" s="312"/>
      <c r="I729" s="312"/>
      <c r="J729" s="312"/>
      <c r="K729" s="312"/>
    </row>
    <row r="730" customFormat="false" ht="15" hidden="true" customHeight="false" outlineLevel="0" collapsed="false">
      <c r="A730" s="312"/>
      <c r="B730" s="312"/>
      <c r="C730" s="312"/>
      <c r="D730" s="312"/>
      <c r="E730" s="312"/>
      <c r="F730" s="312"/>
      <c r="G730" s="312"/>
      <c r="H730" s="312"/>
      <c r="I730" s="312"/>
      <c r="J730" s="312"/>
      <c r="K730" s="312"/>
    </row>
    <row r="731" customFormat="false" ht="15" hidden="true" customHeight="false" outlineLevel="0" collapsed="false">
      <c r="A731" s="312"/>
      <c r="B731" s="312"/>
      <c r="C731" s="312"/>
      <c r="D731" s="312"/>
      <c r="E731" s="312"/>
      <c r="F731" s="312"/>
      <c r="G731" s="312"/>
      <c r="H731" s="312"/>
      <c r="I731" s="312"/>
      <c r="J731" s="312"/>
      <c r="K731" s="312"/>
    </row>
    <row r="732" customFormat="false" ht="15" hidden="true" customHeight="false" outlineLevel="0" collapsed="false">
      <c r="A732" s="312"/>
      <c r="B732" s="312"/>
      <c r="C732" s="312"/>
      <c r="D732" s="312"/>
      <c r="E732" s="312"/>
      <c r="F732" s="312"/>
      <c r="G732" s="312"/>
      <c r="H732" s="312"/>
      <c r="I732" s="312"/>
      <c r="J732" s="312"/>
      <c r="K732" s="312"/>
    </row>
    <row r="733" customFormat="false" ht="15" hidden="true" customHeight="false" outlineLevel="0" collapsed="false">
      <c r="A733" s="312"/>
      <c r="B733" s="312"/>
      <c r="C733" s="312"/>
      <c r="D733" s="312"/>
      <c r="E733" s="312"/>
      <c r="F733" s="312"/>
      <c r="G733" s="312"/>
      <c r="H733" s="312"/>
      <c r="I733" s="312"/>
      <c r="J733" s="312"/>
      <c r="K733" s="312"/>
    </row>
    <row r="734" customFormat="false" ht="15" hidden="true" customHeight="false" outlineLevel="0" collapsed="false">
      <c r="A734" s="312"/>
      <c r="B734" s="312"/>
      <c r="C734" s="312"/>
      <c r="D734" s="312"/>
      <c r="E734" s="312"/>
      <c r="F734" s="312"/>
      <c r="G734" s="312"/>
      <c r="H734" s="312"/>
      <c r="I734" s="312"/>
      <c r="J734" s="312"/>
      <c r="K734" s="312"/>
    </row>
    <row r="735" customFormat="false" ht="15" hidden="true" customHeight="false" outlineLevel="0" collapsed="false">
      <c r="A735" s="312"/>
      <c r="B735" s="312"/>
      <c r="C735" s="312"/>
      <c r="D735" s="312"/>
      <c r="E735" s="312"/>
      <c r="F735" s="312"/>
      <c r="G735" s="312"/>
      <c r="H735" s="312"/>
      <c r="I735" s="312"/>
      <c r="J735" s="312"/>
      <c r="K735" s="312"/>
    </row>
    <row r="736" customFormat="false" ht="15" hidden="true" customHeight="false" outlineLevel="0" collapsed="false">
      <c r="A736" s="312"/>
      <c r="B736" s="312"/>
      <c r="C736" s="312"/>
      <c r="D736" s="312"/>
      <c r="E736" s="312"/>
      <c r="F736" s="312"/>
      <c r="G736" s="312"/>
      <c r="H736" s="312"/>
      <c r="I736" s="312"/>
      <c r="J736" s="312"/>
      <c r="K736" s="312"/>
    </row>
    <row r="737" customFormat="false" ht="15" hidden="true" customHeight="false" outlineLevel="0" collapsed="false">
      <c r="A737" s="312"/>
      <c r="B737" s="312"/>
      <c r="C737" s="312"/>
      <c r="D737" s="312"/>
      <c r="E737" s="312"/>
      <c r="F737" s="312"/>
      <c r="G737" s="312"/>
      <c r="H737" s="312"/>
      <c r="I737" s="312"/>
      <c r="J737" s="312"/>
      <c r="K737" s="312"/>
    </row>
    <row r="738" customFormat="false" ht="15" hidden="true" customHeight="false" outlineLevel="0" collapsed="false">
      <c r="A738" s="312"/>
      <c r="B738" s="312"/>
      <c r="C738" s="312"/>
      <c r="D738" s="312"/>
      <c r="E738" s="312"/>
      <c r="F738" s="312"/>
      <c r="G738" s="312"/>
      <c r="H738" s="312"/>
      <c r="I738" s="312"/>
      <c r="J738" s="312"/>
      <c r="K738" s="312"/>
    </row>
    <row r="739" customFormat="false" ht="15" hidden="true" customHeight="false" outlineLevel="0" collapsed="false">
      <c r="A739" s="312"/>
      <c r="B739" s="312"/>
      <c r="C739" s="312"/>
      <c r="D739" s="312"/>
      <c r="E739" s="312"/>
      <c r="F739" s="312"/>
      <c r="G739" s="312"/>
      <c r="H739" s="312"/>
      <c r="I739" s="312"/>
      <c r="J739" s="312"/>
      <c r="K739" s="312"/>
    </row>
    <row r="740" customFormat="false" ht="15" hidden="true" customHeight="false" outlineLevel="0" collapsed="false">
      <c r="A740" s="312"/>
      <c r="B740" s="312"/>
      <c r="C740" s="312"/>
      <c r="D740" s="312"/>
      <c r="E740" s="312"/>
      <c r="F740" s="312"/>
      <c r="G740" s="312"/>
      <c r="H740" s="312"/>
      <c r="I740" s="312"/>
      <c r="J740" s="312"/>
      <c r="K740" s="312"/>
    </row>
    <row r="741" customFormat="false" ht="15" hidden="true" customHeight="false" outlineLevel="0" collapsed="false">
      <c r="A741" s="312"/>
      <c r="B741" s="312"/>
      <c r="C741" s="312"/>
      <c r="D741" s="312"/>
      <c r="E741" s="312"/>
      <c r="F741" s="312"/>
      <c r="G741" s="312"/>
      <c r="H741" s="312"/>
      <c r="I741" s="312"/>
      <c r="J741" s="312"/>
      <c r="K741" s="312"/>
    </row>
    <row r="742" customFormat="false" ht="15" hidden="true" customHeight="false" outlineLevel="0" collapsed="false">
      <c r="A742" s="312"/>
      <c r="B742" s="312"/>
      <c r="C742" s="312"/>
      <c r="D742" s="312"/>
      <c r="E742" s="312"/>
      <c r="F742" s="312"/>
      <c r="G742" s="312"/>
      <c r="H742" s="312"/>
      <c r="I742" s="312"/>
      <c r="J742" s="312"/>
      <c r="K742" s="312"/>
    </row>
    <row r="743" customFormat="false" ht="15" hidden="true" customHeight="false" outlineLevel="0" collapsed="false">
      <c r="A743" s="312"/>
      <c r="B743" s="312"/>
      <c r="C743" s="312"/>
      <c r="D743" s="312"/>
      <c r="E743" s="312"/>
      <c r="F743" s="312"/>
      <c r="G743" s="312"/>
      <c r="H743" s="312"/>
      <c r="I743" s="312"/>
      <c r="J743" s="312"/>
      <c r="K743" s="312"/>
    </row>
    <row r="744" customFormat="false" ht="15" hidden="true" customHeight="false" outlineLevel="0" collapsed="false">
      <c r="A744" s="312"/>
      <c r="B744" s="312"/>
      <c r="C744" s="312"/>
      <c r="D744" s="312"/>
      <c r="E744" s="312"/>
      <c r="F744" s="312"/>
      <c r="G744" s="312"/>
      <c r="H744" s="312"/>
      <c r="I744" s="312"/>
      <c r="J744" s="312"/>
      <c r="K744" s="312"/>
    </row>
    <row r="745" customFormat="false" ht="15" hidden="true" customHeight="false" outlineLevel="0" collapsed="false">
      <c r="A745" s="312"/>
      <c r="B745" s="312"/>
      <c r="C745" s="312"/>
      <c r="D745" s="312"/>
      <c r="E745" s="312"/>
      <c r="F745" s="312"/>
      <c r="G745" s="312"/>
      <c r="H745" s="312"/>
      <c r="I745" s="312"/>
      <c r="J745" s="312"/>
      <c r="K745" s="312"/>
    </row>
    <row r="746" customFormat="false" ht="15" hidden="true" customHeight="false" outlineLevel="0" collapsed="false">
      <c r="A746" s="312"/>
      <c r="B746" s="312"/>
      <c r="C746" s="312"/>
      <c r="D746" s="312"/>
      <c r="E746" s="312"/>
      <c r="F746" s="312"/>
      <c r="G746" s="312"/>
      <c r="H746" s="312"/>
      <c r="I746" s="312"/>
      <c r="J746" s="312"/>
      <c r="K746" s="312"/>
    </row>
    <row r="747" customFormat="false" ht="15" hidden="true" customHeight="false" outlineLevel="0" collapsed="false">
      <c r="A747" s="312"/>
      <c r="B747" s="312"/>
      <c r="C747" s="312"/>
      <c r="D747" s="312"/>
      <c r="E747" s="312"/>
      <c r="F747" s="312"/>
      <c r="G747" s="312"/>
      <c r="H747" s="312"/>
      <c r="I747" s="312"/>
      <c r="J747" s="312"/>
      <c r="K747" s="312"/>
    </row>
    <row r="748" customFormat="false" ht="15" hidden="true" customHeight="false" outlineLevel="0" collapsed="false">
      <c r="A748" s="312"/>
      <c r="B748" s="312"/>
      <c r="C748" s="312"/>
      <c r="D748" s="312"/>
      <c r="E748" s="312"/>
      <c r="F748" s="312"/>
      <c r="G748" s="312"/>
      <c r="H748" s="312"/>
      <c r="I748" s="312"/>
      <c r="J748" s="312"/>
      <c r="K748" s="312"/>
    </row>
    <row r="749" customFormat="false" ht="15" hidden="true" customHeight="false" outlineLevel="0" collapsed="false">
      <c r="A749" s="312"/>
      <c r="B749" s="312"/>
      <c r="C749" s="312"/>
      <c r="D749" s="312"/>
      <c r="E749" s="312"/>
      <c r="F749" s="312"/>
      <c r="G749" s="312"/>
      <c r="H749" s="312"/>
      <c r="I749" s="312"/>
      <c r="J749" s="312"/>
      <c r="K749" s="312"/>
    </row>
    <row r="750" customFormat="false" ht="15" hidden="true" customHeight="false" outlineLevel="0" collapsed="false">
      <c r="A750" s="312"/>
      <c r="B750" s="312"/>
      <c r="C750" s="312"/>
      <c r="D750" s="312"/>
      <c r="E750" s="312"/>
      <c r="F750" s="312"/>
      <c r="G750" s="312"/>
      <c r="H750" s="312"/>
      <c r="I750" s="312"/>
      <c r="J750" s="312"/>
      <c r="K750" s="312"/>
    </row>
    <row r="751" customFormat="false" ht="15" hidden="true" customHeight="false" outlineLevel="0" collapsed="false">
      <c r="A751" s="312"/>
      <c r="B751" s="312"/>
      <c r="C751" s="312"/>
      <c r="D751" s="312"/>
      <c r="E751" s="312"/>
      <c r="F751" s="312"/>
      <c r="G751" s="312"/>
      <c r="H751" s="312"/>
      <c r="I751" s="312"/>
      <c r="J751" s="312"/>
      <c r="K751" s="312"/>
    </row>
    <row r="752" customFormat="false" ht="15" hidden="true" customHeight="false" outlineLevel="0" collapsed="false">
      <c r="A752" s="312"/>
      <c r="B752" s="312"/>
      <c r="C752" s="312"/>
      <c r="D752" s="312"/>
      <c r="E752" s="312"/>
      <c r="F752" s="312"/>
      <c r="G752" s="312"/>
      <c r="H752" s="312"/>
      <c r="I752" s="312"/>
      <c r="J752" s="312"/>
      <c r="K752" s="312"/>
    </row>
    <row r="753" customFormat="false" ht="15" hidden="true" customHeight="false" outlineLevel="0" collapsed="false">
      <c r="A753" s="312"/>
      <c r="B753" s="312"/>
      <c r="C753" s="312"/>
      <c r="D753" s="312"/>
      <c r="E753" s="312"/>
      <c r="F753" s="312"/>
      <c r="G753" s="312"/>
      <c r="H753" s="312"/>
      <c r="I753" s="312"/>
      <c r="J753" s="312"/>
      <c r="K753" s="312"/>
    </row>
    <row r="754" customFormat="false" ht="15" hidden="true" customHeight="false" outlineLevel="0" collapsed="false">
      <c r="A754" s="312"/>
      <c r="B754" s="312"/>
      <c r="C754" s="312"/>
      <c r="D754" s="312"/>
      <c r="E754" s="312"/>
      <c r="F754" s="312"/>
      <c r="G754" s="312"/>
      <c r="H754" s="312"/>
      <c r="I754" s="312"/>
      <c r="J754" s="312"/>
      <c r="K754" s="312"/>
    </row>
    <row r="755" customFormat="false" ht="15" hidden="true" customHeight="false" outlineLevel="0" collapsed="false">
      <c r="A755" s="312"/>
      <c r="B755" s="312"/>
      <c r="C755" s="312"/>
      <c r="D755" s="312"/>
      <c r="E755" s="312"/>
      <c r="F755" s="312"/>
      <c r="G755" s="312"/>
      <c r="H755" s="312"/>
      <c r="I755" s="312"/>
      <c r="J755" s="312"/>
      <c r="K755" s="312"/>
    </row>
    <row r="756" customFormat="false" ht="15" hidden="true" customHeight="false" outlineLevel="0" collapsed="false">
      <c r="A756" s="312"/>
      <c r="B756" s="312"/>
      <c r="C756" s="312"/>
      <c r="D756" s="312"/>
      <c r="E756" s="312"/>
      <c r="F756" s="312"/>
      <c r="G756" s="312"/>
      <c r="H756" s="312"/>
      <c r="I756" s="312"/>
      <c r="J756" s="312"/>
      <c r="K756" s="312"/>
    </row>
    <row r="757" customFormat="false" ht="15" hidden="true" customHeight="false" outlineLevel="0" collapsed="false">
      <c r="A757" s="312"/>
      <c r="B757" s="312"/>
      <c r="C757" s="312"/>
      <c r="D757" s="312"/>
      <c r="E757" s="312"/>
      <c r="F757" s="312"/>
      <c r="G757" s="312"/>
      <c r="H757" s="312"/>
      <c r="I757" s="312"/>
      <c r="J757" s="312"/>
      <c r="K757" s="312"/>
    </row>
    <row r="758" customFormat="false" ht="15" hidden="true" customHeight="false" outlineLevel="0" collapsed="false">
      <c r="A758" s="312"/>
      <c r="B758" s="312"/>
      <c r="C758" s="312"/>
      <c r="D758" s="312"/>
      <c r="E758" s="312"/>
      <c r="F758" s="312"/>
      <c r="G758" s="312"/>
      <c r="H758" s="312"/>
      <c r="I758" s="312"/>
      <c r="J758" s="312"/>
      <c r="K758" s="312"/>
    </row>
    <row r="759" customFormat="false" ht="15" hidden="true" customHeight="false" outlineLevel="0" collapsed="false">
      <c r="A759" s="312"/>
      <c r="B759" s="312"/>
      <c r="C759" s="312"/>
      <c r="D759" s="312"/>
      <c r="E759" s="312"/>
      <c r="F759" s="312"/>
      <c r="G759" s="312"/>
      <c r="H759" s="312"/>
      <c r="I759" s="312"/>
      <c r="J759" s="312"/>
      <c r="K759" s="312"/>
    </row>
    <row r="760" customFormat="false" ht="15" hidden="true" customHeight="false" outlineLevel="0" collapsed="false">
      <c r="A760" s="312"/>
      <c r="B760" s="312"/>
      <c r="C760" s="312"/>
      <c r="D760" s="312"/>
      <c r="E760" s="312"/>
      <c r="F760" s="312"/>
      <c r="G760" s="312"/>
      <c r="H760" s="312"/>
      <c r="I760" s="312"/>
      <c r="J760" s="312"/>
      <c r="K760" s="312"/>
    </row>
    <row r="761" customFormat="false" ht="15" hidden="true" customHeight="false" outlineLevel="0" collapsed="false">
      <c r="A761" s="312"/>
      <c r="B761" s="312"/>
      <c r="C761" s="312"/>
      <c r="D761" s="312"/>
      <c r="E761" s="312"/>
      <c r="F761" s="312"/>
      <c r="G761" s="312"/>
      <c r="H761" s="312"/>
      <c r="I761" s="312"/>
      <c r="J761" s="312"/>
      <c r="K761" s="312"/>
    </row>
    <row r="762" customFormat="false" ht="15" hidden="true" customHeight="false" outlineLevel="0" collapsed="false">
      <c r="A762" s="312"/>
      <c r="B762" s="312"/>
      <c r="C762" s="312"/>
      <c r="D762" s="312"/>
      <c r="E762" s="312"/>
      <c r="F762" s="312"/>
      <c r="G762" s="312"/>
      <c r="H762" s="312"/>
      <c r="I762" s="312"/>
      <c r="J762" s="312"/>
      <c r="K762" s="312"/>
    </row>
    <row r="763" customFormat="false" ht="15" hidden="true" customHeight="false" outlineLevel="0" collapsed="false">
      <c r="A763" s="312"/>
      <c r="B763" s="312"/>
      <c r="C763" s="312"/>
      <c r="D763" s="312"/>
      <c r="E763" s="312"/>
      <c r="F763" s="312"/>
      <c r="G763" s="312"/>
      <c r="H763" s="312"/>
      <c r="I763" s="312"/>
      <c r="J763" s="312"/>
      <c r="K763" s="312"/>
    </row>
    <row r="764" customFormat="false" ht="15" hidden="true" customHeight="false" outlineLevel="0" collapsed="false">
      <c r="A764" s="312"/>
      <c r="B764" s="312"/>
      <c r="C764" s="312"/>
      <c r="D764" s="312"/>
      <c r="E764" s="312"/>
      <c r="F764" s="312"/>
      <c r="G764" s="312"/>
      <c r="H764" s="312"/>
      <c r="I764" s="312"/>
      <c r="J764" s="312"/>
      <c r="K764" s="312"/>
    </row>
    <row r="765" customFormat="false" ht="15" hidden="true" customHeight="false" outlineLevel="0" collapsed="false">
      <c r="A765" s="312"/>
      <c r="B765" s="312"/>
      <c r="C765" s="312"/>
      <c r="D765" s="312"/>
      <c r="E765" s="312"/>
      <c r="F765" s="312"/>
      <c r="G765" s="312"/>
      <c r="H765" s="312"/>
      <c r="I765" s="312"/>
      <c r="J765" s="312"/>
      <c r="K765" s="312"/>
    </row>
    <row r="766" customFormat="false" ht="15" hidden="true" customHeight="false" outlineLevel="0" collapsed="false">
      <c r="A766" s="312"/>
      <c r="B766" s="312"/>
      <c r="C766" s="312"/>
      <c r="D766" s="312"/>
      <c r="E766" s="312"/>
      <c r="F766" s="312"/>
      <c r="G766" s="312"/>
      <c r="H766" s="312"/>
      <c r="I766" s="312"/>
      <c r="J766" s="312"/>
      <c r="K766" s="312"/>
    </row>
    <row r="767" customFormat="false" ht="15" hidden="true" customHeight="false" outlineLevel="0" collapsed="false">
      <c r="A767" s="312"/>
      <c r="B767" s="312"/>
      <c r="C767" s="312"/>
      <c r="D767" s="312"/>
      <c r="E767" s="312"/>
      <c r="F767" s="312"/>
      <c r="G767" s="312"/>
      <c r="H767" s="312"/>
      <c r="I767" s="312"/>
      <c r="J767" s="312"/>
      <c r="K767" s="312"/>
    </row>
    <row r="768" customFormat="false" ht="15" hidden="true" customHeight="false" outlineLevel="0" collapsed="false">
      <c r="A768" s="312"/>
      <c r="B768" s="312"/>
      <c r="C768" s="312"/>
      <c r="D768" s="312"/>
      <c r="E768" s="312"/>
      <c r="F768" s="312"/>
      <c r="G768" s="312"/>
      <c r="H768" s="312"/>
      <c r="I768" s="312"/>
      <c r="J768" s="312"/>
      <c r="K768" s="312"/>
    </row>
    <row r="769" customFormat="false" ht="15" hidden="true" customHeight="false" outlineLevel="0" collapsed="false">
      <c r="A769" s="312"/>
      <c r="B769" s="312"/>
      <c r="C769" s="312"/>
      <c r="D769" s="312"/>
      <c r="E769" s="312"/>
      <c r="F769" s="312"/>
      <c r="G769" s="312"/>
      <c r="H769" s="312"/>
      <c r="I769" s="312"/>
      <c r="J769" s="312"/>
      <c r="K769" s="312"/>
    </row>
    <row r="770" customFormat="false" ht="15" hidden="true" customHeight="false" outlineLevel="0" collapsed="false">
      <c r="A770" s="312"/>
      <c r="B770" s="312"/>
      <c r="C770" s="312"/>
      <c r="D770" s="312"/>
      <c r="E770" s="312"/>
      <c r="F770" s="312"/>
      <c r="G770" s="312"/>
      <c r="H770" s="312"/>
      <c r="I770" s="312"/>
      <c r="J770" s="312"/>
      <c r="K770" s="312"/>
    </row>
    <row r="771" customFormat="false" ht="15" hidden="true" customHeight="false" outlineLevel="0" collapsed="false">
      <c r="A771" s="312"/>
      <c r="B771" s="312"/>
      <c r="C771" s="312"/>
      <c r="D771" s="312"/>
      <c r="E771" s="312"/>
      <c r="F771" s="312"/>
      <c r="G771" s="312"/>
      <c r="H771" s="312"/>
      <c r="I771" s="312"/>
      <c r="J771" s="312"/>
      <c r="K771" s="312"/>
    </row>
    <row r="772" customFormat="false" ht="15" hidden="true" customHeight="false" outlineLevel="0" collapsed="false">
      <c r="A772" s="312"/>
      <c r="B772" s="312"/>
      <c r="C772" s="312"/>
      <c r="D772" s="312"/>
      <c r="E772" s="312"/>
      <c r="F772" s="312"/>
      <c r="G772" s="312"/>
      <c r="H772" s="312"/>
      <c r="I772" s="312"/>
      <c r="J772" s="312"/>
      <c r="K772" s="312"/>
    </row>
    <row r="773" customFormat="false" ht="15" hidden="true" customHeight="false" outlineLevel="0" collapsed="false">
      <c r="A773" s="312"/>
      <c r="B773" s="312"/>
      <c r="C773" s="312"/>
      <c r="D773" s="312"/>
      <c r="E773" s="312"/>
      <c r="F773" s="312"/>
      <c r="G773" s="312"/>
      <c r="H773" s="312"/>
      <c r="I773" s="312"/>
      <c r="J773" s="312"/>
      <c r="K773" s="312"/>
    </row>
    <row r="774" customFormat="false" ht="15" hidden="true" customHeight="false" outlineLevel="0" collapsed="false">
      <c r="A774" s="312"/>
      <c r="B774" s="312"/>
      <c r="C774" s="312"/>
      <c r="D774" s="312"/>
      <c r="E774" s="312"/>
      <c r="F774" s="312"/>
      <c r="G774" s="312"/>
      <c r="H774" s="312"/>
      <c r="I774" s="312"/>
      <c r="J774" s="312"/>
      <c r="K774" s="312"/>
    </row>
    <row r="775" customFormat="false" ht="15" hidden="true" customHeight="false" outlineLevel="0" collapsed="false">
      <c r="A775" s="312"/>
      <c r="B775" s="312"/>
      <c r="C775" s="312"/>
      <c r="D775" s="312"/>
      <c r="E775" s="312"/>
      <c r="F775" s="312"/>
      <c r="G775" s="312"/>
      <c r="H775" s="312"/>
      <c r="I775" s="312"/>
      <c r="J775" s="312"/>
      <c r="K775" s="312"/>
    </row>
    <row r="776" customFormat="false" ht="15" hidden="true" customHeight="false" outlineLevel="0" collapsed="false">
      <c r="A776" s="312"/>
      <c r="B776" s="312"/>
      <c r="C776" s="312"/>
      <c r="D776" s="312"/>
      <c r="E776" s="312"/>
      <c r="F776" s="312"/>
      <c r="G776" s="312"/>
      <c r="H776" s="312"/>
      <c r="I776" s="312"/>
      <c r="J776" s="312"/>
      <c r="K776" s="312"/>
    </row>
    <row r="777" customFormat="false" ht="15" hidden="true" customHeight="false" outlineLevel="0" collapsed="false">
      <c r="A777" s="312"/>
      <c r="B777" s="312"/>
      <c r="C777" s="312"/>
      <c r="D777" s="312"/>
      <c r="E777" s="312"/>
      <c r="F777" s="312"/>
      <c r="G777" s="312"/>
      <c r="H777" s="312"/>
      <c r="I777" s="312"/>
      <c r="J777" s="312"/>
      <c r="K777" s="312"/>
    </row>
    <row r="778" customFormat="false" ht="15" hidden="true" customHeight="false" outlineLevel="0" collapsed="false">
      <c r="A778" s="312"/>
      <c r="B778" s="312"/>
      <c r="C778" s="312"/>
      <c r="D778" s="312"/>
      <c r="E778" s="312"/>
      <c r="F778" s="312"/>
      <c r="G778" s="312"/>
      <c r="H778" s="312"/>
      <c r="I778" s="312"/>
      <c r="J778" s="312"/>
      <c r="K778" s="312"/>
    </row>
    <row r="779" customFormat="false" ht="15" hidden="true" customHeight="false" outlineLevel="0" collapsed="false">
      <c r="A779" s="312"/>
      <c r="B779" s="312"/>
      <c r="C779" s="312"/>
      <c r="D779" s="312"/>
      <c r="E779" s="312"/>
      <c r="F779" s="312"/>
      <c r="G779" s="312"/>
      <c r="H779" s="312"/>
      <c r="I779" s="312"/>
      <c r="J779" s="312"/>
      <c r="K779" s="312"/>
    </row>
    <row r="780" customFormat="false" ht="15" hidden="true" customHeight="false" outlineLevel="0" collapsed="false">
      <c r="A780" s="312"/>
      <c r="B780" s="312"/>
      <c r="C780" s="312"/>
      <c r="D780" s="312"/>
      <c r="E780" s="312"/>
      <c r="F780" s="312"/>
      <c r="G780" s="312"/>
      <c r="H780" s="312"/>
      <c r="I780" s="312"/>
      <c r="J780" s="312"/>
      <c r="K780" s="312"/>
    </row>
    <row r="781" customFormat="false" ht="15" hidden="true" customHeight="false" outlineLevel="0" collapsed="false">
      <c r="A781" s="312"/>
      <c r="B781" s="312"/>
      <c r="C781" s="312"/>
      <c r="D781" s="312"/>
      <c r="E781" s="312"/>
      <c r="F781" s="312"/>
      <c r="G781" s="312"/>
      <c r="H781" s="312"/>
      <c r="I781" s="312"/>
      <c r="J781" s="312"/>
      <c r="K781" s="312"/>
    </row>
    <row r="782" customFormat="false" ht="15" hidden="true" customHeight="false" outlineLevel="0" collapsed="false">
      <c r="A782" s="312"/>
      <c r="B782" s="312"/>
      <c r="C782" s="312"/>
      <c r="D782" s="312"/>
      <c r="E782" s="312"/>
      <c r="F782" s="312"/>
      <c r="G782" s="312"/>
      <c r="H782" s="312"/>
      <c r="I782" s="312"/>
      <c r="J782" s="312"/>
      <c r="K782" s="312"/>
    </row>
    <row r="783" customFormat="false" ht="15" hidden="true" customHeight="false" outlineLevel="0" collapsed="false">
      <c r="A783" s="312"/>
      <c r="B783" s="312"/>
      <c r="C783" s="312"/>
      <c r="D783" s="312"/>
      <c r="E783" s="312"/>
      <c r="F783" s="312"/>
      <c r="G783" s="312"/>
      <c r="H783" s="312"/>
      <c r="I783" s="312"/>
      <c r="J783" s="312"/>
      <c r="K783" s="312"/>
    </row>
    <row r="784" customFormat="false" ht="15" hidden="true" customHeight="false" outlineLevel="0" collapsed="false">
      <c r="A784" s="312"/>
      <c r="B784" s="312"/>
      <c r="C784" s="312"/>
      <c r="D784" s="312"/>
      <c r="E784" s="312"/>
      <c r="F784" s="312"/>
      <c r="G784" s="312"/>
      <c r="H784" s="312"/>
      <c r="I784" s="312"/>
      <c r="J784" s="312"/>
      <c r="K784" s="312"/>
    </row>
    <row r="785" customFormat="false" ht="15" hidden="true" customHeight="false" outlineLevel="0" collapsed="false">
      <c r="A785" s="312"/>
      <c r="B785" s="312"/>
      <c r="C785" s="312"/>
      <c r="D785" s="312"/>
      <c r="E785" s="312"/>
      <c r="F785" s="312"/>
      <c r="G785" s="312"/>
      <c r="H785" s="312"/>
      <c r="I785" s="312"/>
      <c r="J785" s="312"/>
      <c r="K785" s="312"/>
    </row>
    <row r="786" customFormat="false" ht="15" hidden="true" customHeight="false" outlineLevel="0" collapsed="false">
      <c r="A786" s="312"/>
      <c r="B786" s="312"/>
      <c r="C786" s="312"/>
      <c r="D786" s="312"/>
      <c r="E786" s="312"/>
      <c r="F786" s="312"/>
      <c r="G786" s="312"/>
      <c r="H786" s="312"/>
      <c r="I786" s="312"/>
      <c r="J786" s="312"/>
      <c r="K786" s="312"/>
    </row>
    <row r="787" customFormat="false" ht="15" hidden="true" customHeight="false" outlineLevel="0" collapsed="false">
      <c r="A787" s="312"/>
      <c r="B787" s="312"/>
      <c r="C787" s="312"/>
      <c r="D787" s="312"/>
      <c r="E787" s="312"/>
      <c r="F787" s="312"/>
      <c r="G787" s="312"/>
      <c r="H787" s="312"/>
      <c r="I787" s="312"/>
      <c r="J787" s="312"/>
      <c r="K787" s="312"/>
    </row>
    <row r="788" customFormat="false" ht="15" hidden="true" customHeight="false" outlineLevel="0" collapsed="false">
      <c r="A788" s="312"/>
      <c r="B788" s="312"/>
      <c r="C788" s="312"/>
      <c r="D788" s="312"/>
      <c r="E788" s="312"/>
      <c r="F788" s="312"/>
      <c r="G788" s="312"/>
      <c r="H788" s="312"/>
      <c r="I788" s="312"/>
      <c r="J788" s="312"/>
      <c r="K788" s="312"/>
    </row>
    <row r="789" customFormat="false" ht="15" hidden="true" customHeight="false" outlineLevel="0" collapsed="false">
      <c r="A789" s="312"/>
      <c r="B789" s="312"/>
      <c r="C789" s="312"/>
      <c r="D789" s="312"/>
      <c r="E789" s="312"/>
      <c r="F789" s="312"/>
      <c r="G789" s="312"/>
      <c r="H789" s="312"/>
      <c r="I789" s="312"/>
      <c r="J789" s="312"/>
      <c r="K789" s="312"/>
    </row>
    <row r="790" customFormat="false" ht="15" hidden="true" customHeight="false" outlineLevel="0" collapsed="false">
      <c r="A790" s="312"/>
      <c r="B790" s="312"/>
      <c r="C790" s="312"/>
      <c r="D790" s="312"/>
      <c r="E790" s="312"/>
      <c r="F790" s="312"/>
      <c r="G790" s="312"/>
      <c r="H790" s="312"/>
      <c r="I790" s="312"/>
      <c r="J790" s="312"/>
      <c r="K790" s="312"/>
    </row>
    <row r="791" customFormat="false" ht="15" hidden="true" customHeight="false" outlineLevel="0" collapsed="false">
      <c r="A791" s="312"/>
      <c r="B791" s="312"/>
      <c r="C791" s="312"/>
      <c r="D791" s="312"/>
      <c r="E791" s="312"/>
      <c r="F791" s="312"/>
      <c r="G791" s="312"/>
      <c r="H791" s="312"/>
      <c r="I791" s="312"/>
      <c r="J791" s="312"/>
      <c r="K791" s="312"/>
    </row>
    <row r="792" customFormat="false" ht="15" hidden="true" customHeight="false" outlineLevel="0" collapsed="false">
      <c r="A792" s="312"/>
      <c r="B792" s="312"/>
      <c r="C792" s="312"/>
      <c r="D792" s="312"/>
      <c r="E792" s="312"/>
      <c r="F792" s="312"/>
      <c r="G792" s="312"/>
      <c r="H792" s="312"/>
      <c r="I792" s="312"/>
      <c r="J792" s="312"/>
      <c r="K792" s="312"/>
    </row>
    <row r="793" customFormat="false" ht="15" hidden="true" customHeight="false" outlineLevel="0" collapsed="false">
      <c r="A793" s="312"/>
      <c r="B793" s="312"/>
      <c r="C793" s="312"/>
      <c r="D793" s="312"/>
      <c r="E793" s="312"/>
      <c r="F793" s="312"/>
      <c r="G793" s="312"/>
      <c r="H793" s="312"/>
      <c r="I793" s="312"/>
      <c r="J793" s="312"/>
      <c r="K793" s="312"/>
    </row>
    <row r="794" customFormat="false" ht="15" hidden="true" customHeight="false" outlineLevel="0" collapsed="false">
      <c r="A794" s="312"/>
      <c r="B794" s="312"/>
      <c r="C794" s="312"/>
      <c r="D794" s="312"/>
      <c r="E794" s="312"/>
      <c r="F794" s="312"/>
      <c r="G794" s="312"/>
      <c r="H794" s="312"/>
      <c r="I794" s="312"/>
      <c r="J794" s="312"/>
      <c r="K794" s="312"/>
    </row>
    <row r="795" customFormat="false" ht="15" hidden="true" customHeight="false" outlineLevel="0" collapsed="false">
      <c r="A795" s="312"/>
      <c r="B795" s="312"/>
      <c r="C795" s="312"/>
      <c r="D795" s="312"/>
      <c r="E795" s="312"/>
      <c r="F795" s="312"/>
      <c r="G795" s="312"/>
      <c r="H795" s="312"/>
      <c r="I795" s="312"/>
      <c r="J795" s="312"/>
      <c r="K795" s="312"/>
    </row>
    <row r="796" customFormat="false" ht="15" hidden="true" customHeight="false" outlineLevel="0" collapsed="false">
      <c r="A796" s="312"/>
      <c r="B796" s="312"/>
      <c r="C796" s="312"/>
      <c r="D796" s="312"/>
      <c r="E796" s="312"/>
      <c r="F796" s="312"/>
      <c r="G796" s="312"/>
      <c r="H796" s="312"/>
      <c r="I796" s="312"/>
      <c r="J796" s="312"/>
      <c r="K796" s="312"/>
    </row>
    <row r="797" customFormat="false" ht="15" hidden="true" customHeight="false" outlineLevel="0" collapsed="false">
      <c r="A797" s="312"/>
      <c r="B797" s="312"/>
      <c r="C797" s="312"/>
      <c r="D797" s="312"/>
      <c r="E797" s="312"/>
      <c r="F797" s="312"/>
      <c r="G797" s="312"/>
      <c r="H797" s="312"/>
      <c r="I797" s="312"/>
      <c r="J797" s="312"/>
      <c r="K797" s="312"/>
    </row>
    <row r="798" customFormat="false" ht="15" hidden="true" customHeight="false" outlineLevel="0" collapsed="false">
      <c r="A798" s="312"/>
      <c r="B798" s="312"/>
      <c r="C798" s="312"/>
      <c r="D798" s="312"/>
      <c r="E798" s="312"/>
      <c r="F798" s="312"/>
      <c r="G798" s="312"/>
      <c r="H798" s="312"/>
      <c r="I798" s="312"/>
      <c r="J798" s="312"/>
      <c r="K798" s="312"/>
    </row>
    <row r="799" customFormat="false" ht="15" hidden="true" customHeight="false" outlineLevel="0" collapsed="false">
      <c r="A799" s="312"/>
      <c r="B799" s="312"/>
      <c r="C799" s="312"/>
      <c r="D799" s="312"/>
      <c r="E799" s="312"/>
      <c r="F799" s="312"/>
      <c r="G799" s="312"/>
      <c r="H799" s="312"/>
      <c r="I799" s="312"/>
      <c r="J799" s="312"/>
      <c r="K799" s="312"/>
    </row>
    <row r="800" customFormat="false" ht="15" hidden="true" customHeight="false" outlineLevel="0" collapsed="false">
      <c r="A800" s="312"/>
      <c r="B800" s="312"/>
      <c r="C800" s="312"/>
      <c r="D800" s="312"/>
      <c r="E800" s="312"/>
      <c r="F800" s="312"/>
      <c r="G800" s="312"/>
      <c r="H800" s="312"/>
      <c r="I800" s="312"/>
      <c r="J800" s="312"/>
      <c r="K800" s="312"/>
    </row>
    <row r="801" customFormat="false" ht="15" hidden="true" customHeight="false" outlineLevel="0" collapsed="false">
      <c r="A801" s="312"/>
      <c r="B801" s="312"/>
      <c r="C801" s="312"/>
      <c r="D801" s="312"/>
      <c r="E801" s="312"/>
      <c r="F801" s="312"/>
      <c r="G801" s="312"/>
      <c r="H801" s="312"/>
      <c r="I801" s="312"/>
      <c r="J801" s="312"/>
      <c r="K801" s="312"/>
    </row>
    <row r="802" customFormat="false" ht="15" hidden="true" customHeight="false" outlineLevel="0" collapsed="false">
      <c r="A802" s="312"/>
      <c r="B802" s="312"/>
      <c r="C802" s="312"/>
      <c r="D802" s="312"/>
      <c r="E802" s="312"/>
      <c r="F802" s="312"/>
      <c r="G802" s="312"/>
      <c r="H802" s="312"/>
      <c r="I802" s="312"/>
      <c r="J802" s="312"/>
      <c r="K802" s="312"/>
    </row>
    <row r="803" customFormat="false" ht="15" hidden="true" customHeight="false" outlineLevel="0" collapsed="false">
      <c r="A803" s="312"/>
      <c r="B803" s="312"/>
      <c r="C803" s="312"/>
      <c r="D803" s="312"/>
      <c r="E803" s="312"/>
      <c r="F803" s="312"/>
      <c r="G803" s="312"/>
      <c r="H803" s="312"/>
      <c r="I803" s="312"/>
      <c r="J803" s="312"/>
      <c r="K803" s="312"/>
    </row>
    <row r="804" customFormat="false" ht="15" hidden="true" customHeight="false" outlineLevel="0" collapsed="false">
      <c r="A804" s="312"/>
      <c r="B804" s="312"/>
      <c r="C804" s="312"/>
      <c r="D804" s="312"/>
      <c r="E804" s="312"/>
      <c r="F804" s="312"/>
      <c r="G804" s="312"/>
      <c r="H804" s="312"/>
      <c r="I804" s="312"/>
      <c r="J804" s="312"/>
      <c r="K804" s="312"/>
    </row>
    <row r="805" customFormat="false" ht="15" hidden="true" customHeight="false" outlineLevel="0" collapsed="false">
      <c r="A805" s="312"/>
      <c r="B805" s="312"/>
      <c r="C805" s="312"/>
      <c r="D805" s="312"/>
      <c r="E805" s="312"/>
      <c r="F805" s="312"/>
      <c r="G805" s="312"/>
      <c r="H805" s="312"/>
      <c r="I805" s="312"/>
      <c r="J805" s="312"/>
      <c r="K805" s="312"/>
    </row>
    <row r="806" customFormat="false" ht="15" hidden="true" customHeight="false" outlineLevel="0" collapsed="false">
      <c r="A806" s="312"/>
      <c r="B806" s="312"/>
      <c r="C806" s="312"/>
      <c r="D806" s="312"/>
      <c r="E806" s="312"/>
      <c r="F806" s="312"/>
      <c r="G806" s="312"/>
      <c r="H806" s="312"/>
      <c r="I806" s="312"/>
      <c r="J806" s="312"/>
      <c r="K806" s="312"/>
    </row>
    <row r="807" customFormat="false" ht="15" hidden="true" customHeight="false" outlineLevel="0" collapsed="false">
      <c r="A807" s="312"/>
      <c r="B807" s="312"/>
      <c r="C807" s="312"/>
      <c r="D807" s="312"/>
      <c r="E807" s="312"/>
      <c r="F807" s="312"/>
      <c r="G807" s="312"/>
      <c r="H807" s="312"/>
      <c r="I807" s="312"/>
      <c r="J807" s="312"/>
      <c r="K807" s="312"/>
    </row>
    <row r="808" customFormat="false" ht="15" hidden="true" customHeight="false" outlineLevel="0" collapsed="false">
      <c r="A808" s="312"/>
      <c r="B808" s="312"/>
      <c r="C808" s="312"/>
      <c r="D808" s="312"/>
      <c r="E808" s="312"/>
      <c r="F808" s="312"/>
      <c r="G808" s="312"/>
      <c r="H808" s="312"/>
      <c r="I808" s="312"/>
      <c r="J808" s="312"/>
      <c r="K808" s="312"/>
    </row>
    <row r="809" customFormat="false" ht="15" hidden="true" customHeight="false" outlineLevel="0" collapsed="false">
      <c r="A809" s="312"/>
      <c r="B809" s="312"/>
      <c r="C809" s="312"/>
      <c r="D809" s="312"/>
      <c r="E809" s="312"/>
      <c r="F809" s="312"/>
      <c r="G809" s="312"/>
      <c r="H809" s="312"/>
      <c r="I809" s="312"/>
      <c r="J809" s="312"/>
      <c r="K809" s="312"/>
    </row>
    <row r="810" customFormat="false" ht="15" hidden="true" customHeight="false" outlineLevel="0" collapsed="false">
      <c r="A810" s="312"/>
      <c r="B810" s="312"/>
      <c r="C810" s="312"/>
      <c r="D810" s="312"/>
      <c r="E810" s="312"/>
      <c r="F810" s="312"/>
      <c r="G810" s="312"/>
      <c r="H810" s="312"/>
      <c r="I810" s="312"/>
      <c r="J810" s="312"/>
      <c r="K810" s="312"/>
    </row>
    <row r="811" customFormat="false" ht="15" hidden="true" customHeight="false" outlineLevel="0" collapsed="false">
      <c r="A811" s="312"/>
      <c r="B811" s="312"/>
      <c r="C811" s="312"/>
      <c r="D811" s="312"/>
      <c r="E811" s="312"/>
      <c r="F811" s="312"/>
      <c r="G811" s="312"/>
      <c r="H811" s="312"/>
      <c r="I811" s="312"/>
      <c r="J811" s="312"/>
      <c r="K811" s="312"/>
    </row>
    <row r="812" customFormat="false" ht="15" hidden="true" customHeight="false" outlineLevel="0" collapsed="false">
      <c r="A812" s="312"/>
      <c r="B812" s="312"/>
      <c r="C812" s="312"/>
      <c r="D812" s="312"/>
      <c r="E812" s="312"/>
      <c r="F812" s="312"/>
      <c r="G812" s="312"/>
      <c r="H812" s="312"/>
      <c r="I812" s="312"/>
      <c r="J812" s="312"/>
      <c r="K812" s="312"/>
    </row>
    <row r="813" customFormat="false" ht="15" hidden="true" customHeight="false" outlineLevel="0" collapsed="false">
      <c r="A813" s="312"/>
      <c r="B813" s="312"/>
      <c r="C813" s="312"/>
      <c r="D813" s="312"/>
      <c r="E813" s="312"/>
      <c r="F813" s="312"/>
      <c r="G813" s="312"/>
      <c r="H813" s="312"/>
      <c r="I813" s="312"/>
      <c r="J813" s="312"/>
      <c r="K813" s="312"/>
    </row>
    <row r="814" customFormat="false" ht="15" hidden="true" customHeight="false" outlineLevel="0" collapsed="false">
      <c r="A814" s="312"/>
      <c r="B814" s="312"/>
      <c r="C814" s="312"/>
      <c r="D814" s="312"/>
      <c r="E814" s="312"/>
      <c r="F814" s="312"/>
      <c r="G814" s="312"/>
      <c r="H814" s="312"/>
      <c r="I814" s="312"/>
      <c r="J814" s="312"/>
      <c r="K814" s="312"/>
    </row>
    <row r="815" customFormat="false" ht="15" hidden="true" customHeight="false" outlineLevel="0" collapsed="false">
      <c r="A815" s="312"/>
      <c r="B815" s="312"/>
      <c r="C815" s="312"/>
      <c r="D815" s="312"/>
      <c r="E815" s="312"/>
      <c r="F815" s="312"/>
      <c r="G815" s="312"/>
      <c r="H815" s="312"/>
      <c r="I815" s="312"/>
      <c r="J815" s="312"/>
      <c r="K815" s="312"/>
    </row>
    <row r="816" customFormat="false" ht="15" hidden="true" customHeight="false" outlineLevel="0" collapsed="false">
      <c r="A816" s="312"/>
      <c r="B816" s="312"/>
      <c r="C816" s="312"/>
      <c r="D816" s="312"/>
      <c r="E816" s="312"/>
      <c r="F816" s="312"/>
      <c r="G816" s="312"/>
      <c r="H816" s="312"/>
      <c r="I816" s="312"/>
      <c r="J816" s="312"/>
      <c r="K816" s="312"/>
    </row>
    <row r="817" customFormat="false" ht="15" hidden="true" customHeight="false" outlineLevel="0" collapsed="false">
      <c r="A817" s="312"/>
      <c r="B817" s="312"/>
      <c r="C817" s="312"/>
      <c r="D817" s="312"/>
      <c r="E817" s="312"/>
      <c r="F817" s="312"/>
      <c r="G817" s="312"/>
      <c r="H817" s="312"/>
      <c r="I817" s="312"/>
      <c r="J817" s="312"/>
      <c r="K817" s="312"/>
    </row>
    <row r="818" customFormat="false" ht="15" hidden="true" customHeight="false" outlineLevel="0" collapsed="false">
      <c r="A818" s="312"/>
      <c r="B818" s="312"/>
      <c r="C818" s="312"/>
      <c r="D818" s="312"/>
      <c r="E818" s="312"/>
      <c r="F818" s="312"/>
      <c r="G818" s="312"/>
      <c r="H818" s="312"/>
      <c r="I818" s="312"/>
      <c r="J818" s="312"/>
      <c r="K818" s="312"/>
    </row>
    <row r="819" customFormat="false" ht="15" hidden="true" customHeight="false" outlineLevel="0" collapsed="false">
      <c r="A819" s="312"/>
      <c r="B819" s="312"/>
      <c r="C819" s="312"/>
      <c r="D819" s="312"/>
      <c r="E819" s="312"/>
      <c r="F819" s="312"/>
      <c r="G819" s="312"/>
      <c r="H819" s="312"/>
      <c r="I819" s="312"/>
      <c r="J819" s="312"/>
      <c r="K819" s="312"/>
    </row>
    <row r="820" customFormat="false" ht="15" hidden="true" customHeight="false" outlineLevel="0" collapsed="false">
      <c r="A820" s="312"/>
      <c r="B820" s="312"/>
      <c r="C820" s="312"/>
      <c r="D820" s="312"/>
      <c r="E820" s="312"/>
      <c r="F820" s="312"/>
      <c r="G820" s="312"/>
      <c r="H820" s="312"/>
      <c r="I820" s="312"/>
      <c r="J820" s="312"/>
      <c r="K820" s="312"/>
    </row>
    <row r="821" customFormat="false" ht="15" hidden="true" customHeight="false" outlineLevel="0" collapsed="false">
      <c r="A821" s="312"/>
      <c r="B821" s="312"/>
      <c r="C821" s="312"/>
      <c r="D821" s="312"/>
      <c r="E821" s="312"/>
      <c r="F821" s="312"/>
      <c r="G821" s="312"/>
      <c r="H821" s="312"/>
      <c r="I821" s="312"/>
      <c r="J821" s="312"/>
      <c r="K821" s="312"/>
    </row>
    <row r="822" customFormat="false" ht="15" hidden="true" customHeight="false" outlineLevel="0" collapsed="false">
      <c r="A822" s="312"/>
      <c r="B822" s="312"/>
      <c r="C822" s="312"/>
      <c r="D822" s="312"/>
      <c r="E822" s="312"/>
      <c r="F822" s="312"/>
      <c r="G822" s="312"/>
      <c r="H822" s="312"/>
      <c r="I822" s="312"/>
      <c r="J822" s="312"/>
      <c r="K822" s="312"/>
    </row>
    <row r="823" customFormat="false" ht="15" hidden="true" customHeight="false" outlineLevel="0" collapsed="false">
      <c r="A823" s="312"/>
      <c r="B823" s="312"/>
      <c r="C823" s="312"/>
      <c r="D823" s="312"/>
      <c r="E823" s="312"/>
      <c r="F823" s="312"/>
      <c r="G823" s="312"/>
      <c r="H823" s="312"/>
      <c r="I823" s="312"/>
      <c r="J823" s="312"/>
      <c r="K823" s="312"/>
    </row>
    <row r="824" customFormat="false" ht="15" hidden="true" customHeight="false" outlineLevel="0" collapsed="false">
      <c r="A824" s="312"/>
      <c r="B824" s="312"/>
      <c r="C824" s="312"/>
      <c r="D824" s="312"/>
      <c r="E824" s="312"/>
      <c r="F824" s="312"/>
      <c r="G824" s="312"/>
      <c r="H824" s="312"/>
      <c r="I824" s="312"/>
      <c r="J824" s="312"/>
      <c r="K824" s="312"/>
    </row>
    <row r="825" customFormat="false" ht="15" hidden="true" customHeight="false" outlineLevel="0" collapsed="false">
      <c r="A825" s="312"/>
      <c r="B825" s="312"/>
      <c r="C825" s="312"/>
      <c r="D825" s="312"/>
      <c r="E825" s="312"/>
      <c r="F825" s="312"/>
      <c r="G825" s="312"/>
      <c r="H825" s="312"/>
      <c r="I825" s="312"/>
      <c r="J825" s="312"/>
      <c r="K825" s="312"/>
    </row>
    <row r="826" customFormat="false" ht="15" hidden="true" customHeight="false" outlineLevel="0" collapsed="false">
      <c r="A826" s="312"/>
      <c r="B826" s="312"/>
      <c r="C826" s="312"/>
      <c r="D826" s="312"/>
      <c r="E826" s="312"/>
      <c r="F826" s="312"/>
      <c r="G826" s="312"/>
      <c r="H826" s="312"/>
      <c r="I826" s="312"/>
      <c r="J826" s="312"/>
      <c r="K826" s="312"/>
    </row>
    <row r="827" customFormat="false" ht="15" hidden="true" customHeight="false" outlineLevel="0" collapsed="false">
      <c r="A827" s="312"/>
      <c r="B827" s="312"/>
      <c r="C827" s="312"/>
      <c r="D827" s="312"/>
      <c r="E827" s="312"/>
      <c r="F827" s="312"/>
      <c r="G827" s="312"/>
      <c r="H827" s="312"/>
      <c r="I827" s="312"/>
      <c r="J827" s="312"/>
      <c r="K827" s="312"/>
    </row>
    <row r="828" customFormat="false" ht="15" hidden="true" customHeight="false" outlineLevel="0" collapsed="false">
      <c r="A828" s="312"/>
      <c r="B828" s="312"/>
      <c r="C828" s="312"/>
      <c r="D828" s="312"/>
      <c r="E828" s="312"/>
      <c r="F828" s="312"/>
      <c r="G828" s="312"/>
      <c r="H828" s="312"/>
      <c r="I828" s="312"/>
      <c r="J828" s="312"/>
      <c r="K828" s="312"/>
    </row>
    <row r="829" customFormat="false" ht="15" hidden="true" customHeight="false" outlineLevel="0" collapsed="false">
      <c r="A829" s="312"/>
      <c r="B829" s="312"/>
      <c r="C829" s="312"/>
      <c r="D829" s="312"/>
      <c r="E829" s="312"/>
      <c r="F829" s="312"/>
      <c r="G829" s="312"/>
      <c r="H829" s="312"/>
      <c r="I829" s="312"/>
      <c r="J829" s="312"/>
      <c r="K829" s="312"/>
    </row>
    <row r="830" customFormat="false" ht="15" hidden="true" customHeight="false" outlineLevel="0" collapsed="false">
      <c r="A830" s="312"/>
      <c r="B830" s="312"/>
      <c r="C830" s="312"/>
      <c r="D830" s="312"/>
      <c r="E830" s="312"/>
      <c r="F830" s="312"/>
      <c r="G830" s="312"/>
      <c r="H830" s="312"/>
      <c r="I830" s="312"/>
      <c r="J830" s="312"/>
      <c r="K830" s="312"/>
    </row>
    <row r="831" customFormat="false" ht="15" hidden="true" customHeight="false" outlineLevel="0" collapsed="false">
      <c r="A831" s="312"/>
      <c r="B831" s="312"/>
      <c r="C831" s="312"/>
      <c r="D831" s="312"/>
      <c r="E831" s="312"/>
      <c r="F831" s="312"/>
      <c r="G831" s="312"/>
      <c r="H831" s="312"/>
      <c r="I831" s="312"/>
      <c r="J831" s="312"/>
      <c r="K831" s="312"/>
    </row>
    <row r="832" customFormat="false" ht="15" hidden="true" customHeight="false" outlineLevel="0" collapsed="false">
      <c r="A832" s="312"/>
      <c r="B832" s="312"/>
      <c r="C832" s="312"/>
      <c r="D832" s="312"/>
      <c r="E832" s="312"/>
      <c r="F832" s="312"/>
      <c r="G832" s="312"/>
      <c r="H832" s="312"/>
      <c r="I832" s="312"/>
      <c r="J832" s="312"/>
      <c r="K832" s="312"/>
    </row>
    <row r="833" customFormat="false" ht="15" hidden="true" customHeight="false" outlineLevel="0" collapsed="false">
      <c r="A833" s="312"/>
      <c r="B833" s="312"/>
      <c r="C833" s="312"/>
      <c r="D833" s="312"/>
      <c r="E833" s="312"/>
      <c r="F833" s="312"/>
      <c r="G833" s="312"/>
      <c r="H833" s="312"/>
      <c r="I833" s="312"/>
      <c r="J833" s="312"/>
      <c r="K833" s="312"/>
    </row>
    <row r="834" customFormat="false" ht="15" hidden="true" customHeight="false" outlineLevel="0" collapsed="false">
      <c r="A834" s="312"/>
      <c r="B834" s="312"/>
      <c r="C834" s="312"/>
      <c r="D834" s="312"/>
      <c r="E834" s="312"/>
      <c r="F834" s="312"/>
      <c r="G834" s="312"/>
      <c r="H834" s="312"/>
      <c r="I834" s="312"/>
      <c r="J834" s="312"/>
      <c r="K834" s="312"/>
    </row>
    <row r="835" customFormat="false" ht="15" hidden="true" customHeight="false" outlineLevel="0" collapsed="false">
      <c r="A835" s="312"/>
      <c r="B835" s="312"/>
      <c r="C835" s="312"/>
      <c r="D835" s="312"/>
      <c r="E835" s="312"/>
      <c r="F835" s="312"/>
      <c r="G835" s="312"/>
      <c r="H835" s="312"/>
      <c r="I835" s="312"/>
      <c r="J835" s="312"/>
      <c r="K835" s="312"/>
    </row>
    <row r="836" customFormat="false" ht="15" hidden="true" customHeight="false" outlineLevel="0" collapsed="false">
      <c r="A836" s="312"/>
      <c r="B836" s="312"/>
      <c r="C836" s="312"/>
      <c r="D836" s="312"/>
      <c r="E836" s="312"/>
      <c r="F836" s="312"/>
      <c r="G836" s="312"/>
      <c r="H836" s="312"/>
      <c r="I836" s="312"/>
      <c r="J836" s="312"/>
      <c r="K836" s="312"/>
    </row>
    <row r="837" customFormat="false" ht="15" hidden="true" customHeight="false" outlineLevel="0" collapsed="false">
      <c r="A837" s="312"/>
      <c r="B837" s="312"/>
      <c r="C837" s="312"/>
      <c r="D837" s="312"/>
      <c r="E837" s="312"/>
      <c r="F837" s="312"/>
      <c r="G837" s="312"/>
      <c r="H837" s="312"/>
      <c r="I837" s="312"/>
      <c r="J837" s="312"/>
      <c r="K837" s="312"/>
    </row>
    <row r="838" customFormat="false" ht="15" hidden="true" customHeight="false" outlineLevel="0" collapsed="false">
      <c r="A838" s="312"/>
      <c r="B838" s="312"/>
      <c r="C838" s="312"/>
      <c r="D838" s="312"/>
      <c r="E838" s="312"/>
      <c r="F838" s="312"/>
      <c r="G838" s="312"/>
      <c r="H838" s="312"/>
      <c r="I838" s="312"/>
      <c r="J838" s="312"/>
      <c r="K838" s="312"/>
    </row>
    <row r="839" customFormat="false" ht="15" hidden="true" customHeight="false" outlineLevel="0" collapsed="false">
      <c r="A839" s="312"/>
      <c r="B839" s="312"/>
      <c r="C839" s="312"/>
      <c r="D839" s="312"/>
      <c r="E839" s="312"/>
      <c r="F839" s="312"/>
      <c r="G839" s="312"/>
      <c r="H839" s="312"/>
      <c r="I839" s="312"/>
      <c r="J839" s="312"/>
      <c r="K839" s="312"/>
    </row>
    <row r="840" customFormat="false" ht="15" hidden="true" customHeight="false" outlineLevel="0" collapsed="false">
      <c r="A840" s="312"/>
      <c r="B840" s="312"/>
      <c r="C840" s="312"/>
      <c r="D840" s="312"/>
      <c r="E840" s="312"/>
      <c r="F840" s="312"/>
      <c r="G840" s="312"/>
      <c r="H840" s="312"/>
      <c r="I840" s="312"/>
      <c r="J840" s="312"/>
      <c r="K840" s="312"/>
    </row>
    <row r="841" customFormat="false" ht="15" hidden="true" customHeight="false" outlineLevel="0" collapsed="false">
      <c r="A841" s="312"/>
      <c r="B841" s="312"/>
      <c r="C841" s="312"/>
      <c r="D841" s="312"/>
      <c r="E841" s="312"/>
      <c r="F841" s="312"/>
      <c r="G841" s="312"/>
      <c r="H841" s="312"/>
      <c r="I841" s="312"/>
      <c r="J841" s="312"/>
      <c r="K841" s="312"/>
    </row>
    <row r="842" customFormat="false" ht="15" hidden="true" customHeight="false" outlineLevel="0" collapsed="false">
      <c r="A842" s="312"/>
      <c r="B842" s="312"/>
      <c r="C842" s="312"/>
      <c r="D842" s="312"/>
      <c r="E842" s="312"/>
      <c r="F842" s="312"/>
      <c r="G842" s="312"/>
      <c r="H842" s="312"/>
      <c r="I842" s="312"/>
      <c r="J842" s="312"/>
      <c r="K842" s="312"/>
    </row>
    <row r="843" customFormat="false" ht="15" hidden="true" customHeight="false" outlineLevel="0" collapsed="false">
      <c r="A843" s="312"/>
      <c r="B843" s="312"/>
      <c r="C843" s="312"/>
      <c r="D843" s="312"/>
      <c r="E843" s="312"/>
      <c r="F843" s="312"/>
      <c r="G843" s="312"/>
      <c r="H843" s="312"/>
      <c r="I843" s="312"/>
      <c r="J843" s="312"/>
      <c r="K843" s="312"/>
    </row>
    <row r="844" customFormat="false" ht="15" hidden="true" customHeight="false" outlineLevel="0" collapsed="false">
      <c r="A844" s="312"/>
      <c r="B844" s="312"/>
      <c r="C844" s="312"/>
      <c r="D844" s="312"/>
      <c r="E844" s="312"/>
      <c r="F844" s="312"/>
      <c r="G844" s="312"/>
      <c r="H844" s="312"/>
      <c r="I844" s="312"/>
      <c r="J844" s="312"/>
      <c r="K844" s="312"/>
    </row>
    <row r="845" customFormat="false" ht="15" hidden="true" customHeight="false" outlineLevel="0" collapsed="false">
      <c r="A845" s="312"/>
      <c r="B845" s="312"/>
      <c r="C845" s="312"/>
      <c r="D845" s="312"/>
      <c r="E845" s="312"/>
      <c r="F845" s="312"/>
      <c r="G845" s="312"/>
      <c r="H845" s="312"/>
      <c r="I845" s="312"/>
      <c r="J845" s="312"/>
      <c r="K845" s="312"/>
    </row>
    <row r="846" customFormat="false" ht="15" hidden="true" customHeight="false" outlineLevel="0" collapsed="false">
      <c r="A846" s="312"/>
      <c r="B846" s="312"/>
      <c r="C846" s="312"/>
      <c r="D846" s="312"/>
      <c r="E846" s="312"/>
      <c r="F846" s="312"/>
      <c r="G846" s="312"/>
      <c r="H846" s="312"/>
      <c r="I846" s="312"/>
      <c r="J846" s="312"/>
      <c r="K846" s="312"/>
    </row>
    <row r="847" customFormat="false" ht="15" hidden="true" customHeight="false" outlineLevel="0" collapsed="false">
      <c r="A847" s="312"/>
      <c r="B847" s="312"/>
      <c r="C847" s="312"/>
      <c r="D847" s="312"/>
      <c r="E847" s="312"/>
      <c r="F847" s="312"/>
      <c r="G847" s="312"/>
      <c r="H847" s="312"/>
      <c r="I847" s="312"/>
      <c r="J847" s="312"/>
      <c r="K847" s="312"/>
    </row>
    <row r="848" customFormat="false" ht="15" hidden="true" customHeight="false" outlineLevel="0" collapsed="false">
      <c r="A848" s="312"/>
      <c r="B848" s="312"/>
      <c r="C848" s="312"/>
      <c r="D848" s="312"/>
      <c r="E848" s="312"/>
      <c r="F848" s="312"/>
      <c r="G848" s="312"/>
      <c r="H848" s="312"/>
      <c r="I848" s="312"/>
      <c r="J848" s="312"/>
      <c r="K848" s="312"/>
    </row>
    <row r="849" customFormat="false" ht="15" hidden="true" customHeight="false" outlineLevel="0" collapsed="false">
      <c r="A849" s="312"/>
      <c r="B849" s="312"/>
      <c r="C849" s="312"/>
      <c r="D849" s="312"/>
      <c r="E849" s="312"/>
      <c r="F849" s="312"/>
      <c r="G849" s="312"/>
      <c r="H849" s="312"/>
      <c r="I849" s="312"/>
      <c r="J849" s="312"/>
      <c r="K849" s="312"/>
    </row>
    <row r="850" customFormat="false" ht="15" hidden="true" customHeight="false" outlineLevel="0" collapsed="false">
      <c r="A850" s="312"/>
      <c r="B850" s="312"/>
      <c r="C850" s="312"/>
      <c r="D850" s="312"/>
      <c r="E850" s="312"/>
      <c r="F850" s="312"/>
      <c r="G850" s="312"/>
      <c r="H850" s="312"/>
      <c r="I850" s="312"/>
      <c r="J850" s="312"/>
      <c r="K850" s="312"/>
    </row>
    <row r="851" customFormat="false" ht="15" hidden="true" customHeight="false" outlineLevel="0" collapsed="false">
      <c r="A851" s="312"/>
      <c r="B851" s="312"/>
      <c r="C851" s="312"/>
      <c r="D851" s="312"/>
      <c r="E851" s="312"/>
      <c r="F851" s="312"/>
      <c r="G851" s="312"/>
      <c r="H851" s="312"/>
      <c r="I851" s="312"/>
      <c r="J851" s="312"/>
      <c r="K851" s="312"/>
    </row>
    <row r="852" customFormat="false" ht="15" hidden="true" customHeight="false" outlineLevel="0" collapsed="false">
      <c r="A852" s="312"/>
      <c r="B852" s="312"/>
      <c r="C852" s="312"/>
      <c r="D852" s="312"/>
      <c r="E852" s="312"/>
      <c r="F852" s="312"/>
      <c r="G852" s="312"/>
      <c r="H852" s="312"/>
      <c r="I852" s="312"/>
      <c r="J852" s="312"/>
      <c r="K852" s="312"/>
    </row>
    <row r="853" customFormat="false" ht="15" hidden="true" customHeight="false" outlineLevel="0" collapsed="false">
      <c r="A853" s="312"/>
      <c r="B853" s="312"/>
      <c r="C853" s="312"/>
      <c r="D853" s="312"/>
      <c r="E853" s="312"/>
      <c r="F853" s="312"/>
      <c r="G853" s="312"/>
      <c r="H853" s="312"/>
      <c r="I853" s="312"/>
      <c r="J853" s="312"/>
      <c r="K853" s="312"/>
    </row>
    <row r="854" customFormat="false" ht="15" hidden="true" customHeight="false" outlineLevel="0" collapsed="false">
      <c r="A854" s="312"/>
      <c r="B854" s="312"/>
      <c r="C854" s="312"/>
      <c r="D854" s="312"/>
      <c r="E854" s="312"/>
      <c r="F854" s="312"/>
      <c r="G854" s="312"/>
      <c r="H854" s="312"/>
      <c r="I854" s="312"/>
      <c r="J854" s="312"/>
      <c r="K854" s="312"/>
    </row>
    <row r="855" customFormat="false" ht="15" hidden="true" customHeight="false" outlineLevel="0" collapsed="false">
      <c r="A855" s="312"/>
      <c r="B855" s="312"/>
      <c r="C855" s="312"/>
      <c r="D855" s="312"/>
      <c r="E855" s="312"/>
      <c r="F855" s="312"/>
      <c r="G855" s="312"/>
      <c r="H855" s="312"/>
      <c r="I855" s="312"/>
      <c r="J855" s="312"/>
      <c r="K855" s="312"/>
    </row>
    <row r="856" customFormat="false" ht="15" hidden="true" customHeight="false" outlineLevel="0" collapsed="false">
      <c r="A856" s="312"/>
      <c r="B856" s="312"/>
      <c r="C856" s="312"/>
      <c r="D856" s="312"/>
      <c r="E856" s="312"/>
      <c r="F856" s="312"/>
      <c r="G856" s="312"/>
      <c r="H856" s="312"/>
      <c r="I856" s="312"/>
      <c r="J856" s="312"/>
      <c r="K856" s="312"/>
    </row>
    <row r="857" customFormat="false" ht="15" hidden="true" customHeight="false" outlineLevel="0" collapsed="false">
      <c r="A857" s="312"/>
      <c r="B857" s="312"/>
      <c r="C857" s="312"/>
      <c r="D857" s="312"/>
      <c r="E857" s="312"/>
      <c r="F857" s="312"/>
      <c r="G857" s="312"/>
      <c r="H857" s="312"/>
      <c r="I857" s="312"/>
      <c r="J857" s="312"/>
      <c r="K857" s="312"/>
    </row>
    <row r="858" customFormat="false" ht="15" hidden="true" customHeight="false" outlineLevel="0" collapsed="false">
      <c r="A858" s="312"/>
      <c r="B858" s="312"/>
      <c r="C858" s="312"/>
      <c r="D858" s="312"/>
      <c r="E858" s="312"/>
      <c r="F858" s="312"/>
      <c r="G858" s="312"/>
      <c r="H858" s="312"/>
      <c r="I858" s="312"/>
      <c r="J858" s="312"/>
      <c r="K858" s="312"/>
    </row>
    <row r="859" customFormat="false" ht="15" hidden="true" customHeight="false" outlineLevel="0" collapsed="false">
      <c r="A859" s="312"/>
      <c r="B859" s="312"/>
      <c r="C859" s="312"/>
      <c r="D859" s="312"/>
      <c r="E859" s="312"/>
      <c r="F859" s="312"/>
      <c r="G859" s="312"/>
      <c r="H859" s="312"/>
      <c r="I859" s="312"/>
      <c r="J859" s="312"/>
      <c r="K859" s="312"/>
    </row>
    <row r="860" customFormat="false" ht="15" hidden="true" customHeight="false" outlineLevel="0" collapsed="false">
      <c r="A860" s="312"/>
      <c r="B860" s="312"/>
      <c r="C860" s="312"/>
      <c r="D860" s="312"/>
      <c r="E860" s="312"/>
      <c r="F860" s="312"/>
      <c r="G860" s="312"/>
      <c r="H860" s="312"/>
      <c r="I860" s="312"/>
      <c r="J860" s="312"/>
      <c r="K860" s="312"/>
    </row>
    <row r="861" customFormat="false" ht="15" hidden="true" customHeight="false" outlineLevel="0" collapsed="false">
      <c r="A861" s="312"/>
      <c r="B861" s="312"/>
      <c r="C861" s="312"/>
      <c r="D861" s="312"/>
      <c r="E861" s="312"/>
      <c r="F861" s="312"/>
      <c r="G861" s="312"/>
      <c r="H861" s="312"/>
      <c r="I861" s="312"/>
      <c r="J861" s="312"/>
      <c r="K861" s="312"/>
    </row>
    <row r="862" customFormat="false" ht="15" hidden="true" customHeight="false" outlineLevel="0" collapsed="false">
      <c r="A862" s="312"/>
      <c r="B862" s="312"/>
      <c r="C862" s="312"/>
      <c r="D862" s="312"/>
      <c r="E862" s="312"/>
      <c r="F862" s="312"/>
      <c r="G862" s="312"/>
      <c r="H862" s="312"/>
      <c r="I862" s="312"/>
      <c r="J862" s="312"/>
      <c r="K862" s="312"/>
    </row>
    <row r="863" customFormat="false" ht="15" hidden="true" customHeight="false" outlineLevel="0" collapsed="false">
      <c r="A863" s="312"/>
      <c r="B863" s="312"/>
      <c r="C863" s="312"/>
      <c r="D863" s="312"/>
      <c r="E863" s="312"/>
      <c r="F863" s="312"/>
      <c r="G863" s="312"/>
      <c r="H863" s="312"/>
      <c r="I863" s="312"/>
      <c r="J863" s="312"/>
      <c r="K863" s="312"/>
    </row>
    <row r="864" customFormat="false" ht="15" hidden="true" customHeight="false" outlineLevel="0" collapsed="false">
      <c r="A864" s="312"/>
      <c r="B864" s="312"/>
      <c r="C864" s="312"/>
      <c r="D864" s="312"/>
      <c r="E864" s="312"/>
      <c r="F864" s="312"/>
      <c r="G864" s="312"/>
      <c r="H864" s="312"/>
      <c r="I864" s="312"/>
      <c r="J864" s="312"/>
      <c r="K864" s="312"/>
    </row>
    <row r="865" customFormat="false" ht="15" hidden="true" customHeight="false" outlineLevel="0" collapsed="false">
      <c r="A865" s="312"/>
      <c r="B865" s="312"/>
      <c r="C865" s="312"/>
      <c r="D865" s="312"/>
      <c r="E865" s="312"/>
      <c r="F865" s="312"/>
      <c r="G865" s="312"/>
      <c r="H865" s="312"/>
      <c r="I865" s="312"/>
      <c r="J865" s="312"/>
      <c r="K865" s="312"/>
    </row>
    <row r="866" customFormat="false" ht="15" hidden="true" customHeight="false" outlineLevel="0" collapsed="false">
      <c r="A866" s="312"/>
      <c r="B866" s="312"/>
      <c r="C866" s="312"/>
      <c r="D866" s="312"/>
      <c r="E866" s="312"/>
      <c r="F866" s="312"/>
      <c r="G866" s="312"/>
      <c r="H866" s="312"/>
      <c r="I866" s="312"/>
      <c r="J866" s="312"/>
      <c r="K866" s="312"/>
    </row>
    <row r="867" customFormat="false" ht="15" hidden="true" customHeight="false" outlineLevel="0" collapsed="false">
      <c r="A867" s="312"/>
      <c r="B867" s="312"/>
      <c r="C867" s="312"/>
      <c r="D867" s="312"/>
      <c r="E867" s="312"/>
      <c r="F867" s="312"/>
      <c r="G867" s="312"/>
      <c r="H867" s="312"/>
      <c r="I867" s="312"/>
      <c r="J867" s="312"/>
      <c r="K867" s="312"/>
    </row>
    <row r="868" customFormat="false" ht="15" hidden="true" customHeight="false" outlineLevel="0" collapsed="false">
      <c r="A868" s="312"/>
      <c r="B868" s="312"/>
      <c r="C868" s="312"/>
      <c r="D868" s="312"/>
      <c r="E868" s="312"/>
      <c r="F868" s="312"/>
      <c r="G868" s="312"/>
      <c r="H868" s="312"/>
      <c r="I868" s="312"/>
      <c r="J868" s="312"/>
      <c r="K868" s="312"/>
    </row>
    <row r="869" customFormat="false" ht="15" hidden="true" customHeight="false" outlineLevel="0" collapsed="false">
      <c r="A869" s="312"/>
      <c r="B869" s="312"/>
      <c r="C869" s="312"/>
      <c r="D869" s="312"/>
      <c r="E869" s="312"/>
      <c r="F869" s="312"/>
      <c r="G869" s="312"/>
      <c r="H869" s="312"/>
      <c r="I869" s="312"/>
      <c r="J869" s="312"/>
      <c r="K869" s="312"/>
    </row>
    <row r="870" customFormat="false" ht="15" hidden="true" customHeight="false" outlineLevel="0" collapsed="false">
      <c r="A870" s="312"/>
      <c r="B870" s="312"/>
      <c r="C870" s="312"/>
      <c r="D870" s="312"/>
      <c r="E870" s="312"/>
      <c r="F870" s="312"/>
      <c r="G870" s="312"/>
      <c r="H870" s="312"/>
      <c r="I870" s="312"/>
      <c r="J870" s="312"/>
      <c r="K870" s="312"/>
    </row>
    <row r="871" customFormat="false" ht="15" hidden="true" customHeight="false" outlineLevel="0" collapsed="false">
      <c r="A871" s="312"/>
      <c r="B871" s="312"/>
      <c r="C871" s="312"/>
      <c r="D871" s="312"/>
      <c r="E871" s="312"/>
      <c r="F871" s="312"/>
      <c r="G871" s="312"/>
      <c r="H871" s="312"/>
      <c r="I871" s="312"/>
      <c r="J871" s="312"/>
      <c r="K871" s="312"/>
    </row>
    <row r="872" customFormat="false" ht="15" hidden="true" customHeight="false" outlineLevel="0" collapsed="false">
      <c r="A872" s="312"/>
      <c r="B872" s="312"/>
      <c r="C872" s="312"/>
      <c r="D872" s="312"/>
      <c r="E872" s="312"/>
      <c r="F872" s="312"/>
      <c r="G872" s="312"/>
      <c r="H872" s="312"/>
      <c r="I872" s="312"/>
      <c r="J872" s="312"/>
      <c r="K872" s="312"/>
    </row>
    <row r="873" customFormat="false" ht="15" hidden="true" customHeight="false" outlineLevel="0" collapsed="false">
      <c r="A873" s="312"/>
      <c r="B873" s="312"/>
      <c r="C873" s="312"/>
      <c r="D873" s="312"/>
      <c r="E873" s="312"/>
      <c r="F873" s="312"/>
      <c r="G873" s="312"/>
      <c r="H873" s="312"/>
      <c r="I873" s="312"/>
      <c r="J873" s="312"/>
      <c r="K873" s="312"/>
    </row>
    <row r="874" customFormat="false" ht="15" hidden="true" customHeight="false" outlineLevel="0" collapsed="false">
      <c r="A874" s="312"/>
      <c r="B874" s="312"/>
      <c r="C874" s="312"/>
      <c r="D874" s="312"/>
      <c r="E874" s="312"/>
      <c r="F874" s="312"/>
      <c r="G874" s="312"/>
      <c r="H874" s="312"/>
      <c r="I874" s="312"/>
      <c r="J874" s="312"/>
      <c r="K874" s="312"/>
    </row>
    <row r="875" customFormat="false" ht="15" hidden="true" customHeight="false" outlineLevel="0" collapsed="false">
      <c r="A875" s="312"/>
      <c r="B875" s="312"/>
      <c r="C875" s="312"/>
      <c r="D875" s="312"/>
      <c r="E875" s="312"/>
      <c r="F875" s="312"/>
      <c r="G875" s="312"/>
      <c r="H875" s="312"/>
      <c r="I875" s="312"/>
      <c r="J875" s="312"/>
      <c r="K875" s="312"/>
    </row>
    <row r="876" customFormat="false" ht="15" hidden="true" customHeight="false" outlineLevel="0" collapsed="false">
      <c r="A876" s="312"/>
      <c r="B876" s="312"/>
      <c r="C876" s="312"/>
      <c r="D876" s="312"/>
      <c r="E876" s="312"/>
      <c r="F876" s="312"/>
      <c r="G876" s="312"/>
      <c r="H876" s="312"/>
      <c r="I876" s="312"/>
      <c r="J876" s="312"/>
      <c r="K876" s="312"/>
    </row>
    <row r="877" customFormat="false" ht="15" hidden="true" customHeight="false" outlineLevel="0" collapsed="false">
      <c r="A877" s="312"/>
      <c r="B877" s="312"/>
      <c r="C877" s="312"/>
      <c r="D877" s="312"/>
      <c r="E877" s="312"/>
      <c r="F877" s="312"/>
      <c r="G877" s="312"/>
      <c r="H877" s="312"/>
      <c r="I877" s="312"/>
      <c r="J877" s="312"/>
      <c r="K877" s="312"/>
    </row>
    <row r="878" customFormat="false" ht="15" hidden="true" customHeight="false" outlineLevel="0" collapsed="false">
      <c r="A878" s="312"/>
      <c r="B878" s="312"/>
      <c r="C878" s="312"/>
      <c r="D878" s="312"/>
      <c r="E878" s="312"/>
      <c r="F878" s="312"/>
      <c r="G878" s="312"/>
      <c r="H878" s="312"/>
      <c r="I878" s="312"/>
      <c r="J878" s="312"/>
      <c r="K878" s="312"/>
    </row>
    <row r="879" customFormat="false" ht="15" hidden="true" customHeight="false" outlineLevel="0" collapsed="false">
      <c r="A879" s="312"/>
      <c r="B879" s="312"/>
      <c r="C879" s="312"/>
      <c r="D879" s="312"/>
      <c r="E879" s="312"/>
      <c r="F879" s="312"/>
      <c r="G879" s="312"/>
      <c r="H879" s="312"/>
      <c r="I879" s="312"/>
      <c r="J879" s="312"/>
      <c r="K879" s="312"/>
    </row>
    <row r="880" customFormat="false" ht="15" hidden="true" customHeight="false" outlineLevel="0" collapsed="false">
      <c r="A880" s="312"/>
      <c r="B880" s="312"/>
      <c r="C880" s="312"/>
      <c r="D880" s="312"/>
      <c r="E880" s="312"/>
      <c r="F880" s="312"/>
      <c r="G880" s="312"/>
      <c r="H880" s="312"/>
      <c r="I880" s="312"/>
      <c r="J880" s="312"/>
      <c r="K880" s="312"/>
    </row>
    <row r="881" customFormat="false" ht="15" hidden="true" customHeight="false" outlineLevel="0" collapsed="false">
      <c r="A881" s="312"/>
      <c r="B881" s="312"/>
      <c r="C881" s="312"/>
      <c r="D881" s="312"/>
      <c r="E881" s="312"/>
      <c r="F881" s="312"/>
      <c r="G881" s="312"/>
      <c r="H881" s="312"/>
      <c r="I881" s="312"/>
      <c r="J881" s="312"/>
      <c r="K881" s="312"/>
    </row>
    <row r="882" customFormat="false" ht="15" hidden="true" customHeight="false" outlineLevel="0" collapsed="false">
      <c r="A882" s="312"/>
      <c r="B882" s="312"/>
      <c r="C882" s="312"/>
      <c r="D882" s="312"/>
      <c r="E882" s="312"/>
      <c r="F882" s="312"/>
      <c r="G882" s="312"/>
      <c r="H882" s="312"/>
      <c r="I882" s="312"/>
      <c r="J882" s="312"/>
      <c r="K882" s="312"/>
    </row>
    <row r="883" customFormat="false" ht="15" hidden="true" customHeight="false" outlineLevel="0" collapsed="false">
      <c r="A883" s="312"/>
      <c r="B883" s="312"/>
      <c r="C883" s="312"/>
      <c r="D883" s="312"/>
      <c r="E883" s="312"/>
      <c r="F883" s="312"/>
      <c r="G883" s="312"/>
      <c r="H883" s="312"/>
      <c r="I883" s="312"/>
      <c r="J883" s="312"/>
      <c r="K883" s="312"/>
    </row>
    <row r="884" customFormat="false" ht="15" hidden="true" customHeight="false" outlineLevel="0" collapsed="false">
      <c r="A884" s="312"/>
      <c r="B884" s="312"/>
      <c r="C884" s="312"/>
      <c r="D884" s="312"/>
      <c r="E884" s="312"/>
      <c r="F884" s="312"/>
      <c r="G884" s="312"/>
      <c r="H884" s="312"/>
      <c r="I884" s="312"/>
      <c r="J884" s="312"/>
      <c r="K884" s="312"/>
    </row>
    <row r="885" customFormat="false" ht="15" hidden="true" customHeight="false" outlineLevel="0" collapsed="false">
      <c r="A885" s="312"/>
      <c r="B885" s="312"/>
      <c r="C885" s="312"/>
      <c r="D885" s="312"/>
      <c r="E885" s="312"/>
      <c r="F885" s="312"/>
      <c r="G885" s="312"/>
      <c r="H885" s="312"/>
      <c r="I885" s="312"/>
      <c r="J885" s="312"/>
      <c r="K885" s="312"/>
    </row>
    <row r="886" customFormat="false" ht="15" hidden="true" customHeight="false" outlineLevel="0" collapsed="false">
      <c r="A886" s="312"/>
      <c r="B886" s="312"/>
      <c r="C886" s="312"/>
      <c r="D886" s="312"/>
      <c r="E886" s="312"/>
      <c r="F886" s="312"/>
      <c r="G886" s="312"/>
      <c r="H886" s="312"/>
      <c r="I886" s="312"/>
      <c r="J886" s="312"/>
      <c r="K886" s="312"/>
    </row>
    <row r="887" customFormat="false" ht="15" hidden="true" customHeight="false" outlineLevel="0" collapsed="false">
      <c r="A887" s="312"/>
      <c r="B887" s="312"/>
      <c r="C887" s="312"/>
      <c r="D887" s="312"/>
      <c r="E887" s="312"/>
      <c r="F887" s="312"/>
      <c r="G887" s="312"/>
      <c r="H887" s="312"/>
      <c r="I887" s="312"/>
      <c r="J887" s="312"/>
      <c r="K887" s="312"/>
    </row>
    <row r="888" customFormat="false" ht="15" hidden="true" customHeight="false" outlineLevel="0" collapsed="false">
      <c r="A888" s="312"/>
      <c r="B888" s="312"/>
      <c r="C888" s="312"/>
      <c r="D888" s="312"/>
      <c r="E888" s="312"/>
      <c r="F888" s="312"/>
      <c r="G888" s="312"/>
      <c r="H888" s="312"/>
      <c r="I888" s="312"/>
      <c r="J888" s="312"/>
      <c r="K888" s="312"/>
    </row>
    <row r="889" customFormat="false" ht="15" hidden="true" customHeight="false" outlineLevel="0" collapsed="false">
      <c r="A889" s="312"/>
      <c r="B889" s="312"/>
      <c r="C889" s="312"/>
      <c r="D889" s="312"/>
      <c r="E889" s="312"/>
      <c r="F889" s="312"/>
      <c r="G889" s="312"/>
      <c r="H889" s="312"/>
      <c r="I889" s="312"/>
      <c r="J889" s="312"/>
      <c r="K889" s="312"/>
    </row>
    <row r="890" customFormat="false" ht="15" hidden="true" customHeight="false" outlineLevel="0" collapsed="false">
      <c r="A890" s="312"/>
      <c r="B890" s="312"/>
      <c r="C890" s="312"/>
      <c r="D890" s="312"/>
      <c r="E890" s="312"/>
      <c r="F890" s="312"/>
      <c r="G890" s="312"/>
      <c r="H890" s="312"/>
      <c r="I890" s="312"/>
      <c r="J890" s="312"/>
      <c r="K890" s="312"/>
    </row>
    <row r="891" customFormat="false" ht="15" hidden="true" customHeight="false" outlineLevel="0" collapsed="false">
      <c r="A891" s="312"/>
      <c r="B891" s="312"/>
      <c r="C891" s="312"/>
      <c r="D891" s="312"/>
      <c r="E891" s="312"/>
      <c r="F891" s="312"/>
      <c r="G891" s="312"/>
      <c r="H891" s="312"/>
      <c r="I891" s="312"/>
      <c r="J891" s="312"/>
      <c r="K891" s="312"/>
    </row>
    <row r="892" customFormat="false" ht="15" hidden="true" customHeight="false" outlineLevel="0" collapsed="false">
      <c r="A892" s="312"/>
      <c r="B892" s="312"/>
      <c r="C892" s="312"/>
      <c r="D892" s="312"/>
      <c r="E892" s="312"/>
      <c r="F892" s="312"/>
      <c r="G892" s="312"/>
      <c r="H892" s="312"/>
      <c r="I892" s="312"/>
      <c r="J892" s="312"/>
      <c r="K892" s="312"/>
    </row>
    <row r="893" customFormat="false" ht="15" hidden="true" customHeight="false" outlineLevel="0" collapsed="false">
      <c r="A893" s="312"/>
      <c r="B893" s="312"/>
      <c r="C893" s="312"/>
      <c r="D893" s="312"/>
      <c r="E893" s="312"/>
      <c r="F893" s="312"/>
      <c r="G893" s="312"/>
      <c r="H893" s="312"/>
      <c r="I893" s="312"/>
      <c r="J893" s="312"/>
      <c r="K893" s="312"/>
    </row>
    <row r="894" customFormat="false" ht="15" hidden="true" customHeight="false" outlineLevel="0" collapsed="false">
      <c r="A894" s="312"/>
      <c r="B894" s="312"/>
      <c r="C894" s="312"/>
      <c r="D894" s="312"/>
      <c r="E894" s="312"/>
      <c r="F894" s="312"/>
      <c r="G894" s="312"/>
      <c r="H894" s="312"/>
      <c r="I894" s="312"/>
      <c r="J894" s="312"/>
      <c r="K894" s="312"/>
    </row>
    <row r="895" customFormat="false" ht="15" hidden="true" customHeight="false" outlineLevel="0" collapsed="false">
      <c r="A895" s="312"/>
      <c r="B895" s="312"/>
      <c r="C895" s="312"/>
      <c r="D895" s="312"/>
      <c r="E895" s="312"/>
      <c r="F895" s="312"/>
      <c r="G895" s="312"/>
      <c r="H895" s="312"/>
      <c r="I895" s="312"/>
      <c r="J895" s="312"/>
      <c r="K895" s="312"/>
    </row>
    <row r="896" customFormat="false" ht="15" hidden="true" customHeight="false" outlineLevel="0" collapsed="false">
      <c r="A896" s="312"/>
      <c r="B896" s="312"/>
      <c r="C896" s="312"/>
      <c r="D896" s="312"/>
      <c r="E896" s="312"/>
      <c r="F896" s="312"/>
      <c r="G896" s="312"/>
      <c r="H896" s="312"/>
      <c r="I896" s="312"/>
      <c r="J896" s="312"/>
      <c r="K896" s="312"/>
    </row>
    <row r="897" customFormat="false" ht="15" hidden="true" customHeight="false" outlineLevel="0" collapsed="false">
      <c r="A897" s="312"/>
      <c r="B897" s="312"/>
      <c r="C897" s="312"/>
      <c r="D897" s="312"/>
      <c r="E897" s="312"/>
      <c r="F897" s="312"/>
      <c r="G897" s="312"/>
      <c r="H897" s="312"/>
      <c r="I897" s="312"/>
      <c r="J897" s="312"/>
      <c r="K897" s="312"/>
    </row>
    <row r="898" customFormat="false" ht="15" hidden="true" customHeight="false" outlineLevel="0" collapsed="false">
      <c r="A898" s="312"/>
      <c r="B898" s="312"/>
      <c r="C898" s="312"/>
      <c r="D898" s="312"/>
      <c r="E898" s="312"/>
      <c r="F898" s="312"/>
      <c r="G898" s="312"/>
      <c r="H898" s="312"/>
      <c r="I898" s="312"/>
      <c r="J898" s="312"/>
      <c r="K898" s="312"/>
    </row>
    <row r="899" customFormat="false" ht="15" hidden="true" customHeight="false" outlineLevel="0" collapsed="false">
      <c r="A899" s="312"/>
      <c r="B899" s="312"/>
      <c r="C899" s="312"/>
      <c r="D899" s="312"/>
      <c r="E899" s="312"/>
      <c r="F899" s="312"/>
      <c r="G899" s="312"/>
      <c r="H899" s="312"/>
      <c r="I899" s="312"/>
      <c r="J899" s="312"/>
      <c r="K899" s="312"/>
    </row>
    <row r="900" customFormat="false" ht="15" hidden="true" customHeight="false" outlineLevel="0" collapsed="false">
      <c r="A900" s="312"/>
      <c r="B900" s="312"/>
      <c r="C900" s="312"/>
      <c r="D900" s="312"/>
      <c r="E900" s="312"/>
      <c r="F900" s="312"/>
      <c r="G900" s="312"/>
      <c r="H900" s="312"/>
      <c r="I900" s="312"/>
      <c r="J900" s="312"/>
      <c r="K900" s="312"/>
    </row>
    <row r="901" customFormat="false" ht="15" hidden="true" customHeight="false" outlineLevel="0" collapsed="false">
      <c r="A901" s="312"/>
      <c r="B901" s="312"/>
      <c r="C901" s="312"/>
      <c r="D901" s="312"/>
      <c r="E901" s="312"/>
      <c r="F901" s="312"/>
      <c r="G901" s="312"/>
      <c r="H901" s="312"/>
      <c r="I901" s="312"/>
      <c r="J901" s="312"/>
      <c r="K901" s="312"/>
    </row>
    <row r="902" customFormat="false" ht="15" hidden="true" customHeight="false" outlineLevel="0" collapsed="false">
      <c r="A902" s="312"/>
      <c r="B902" s="312"/>
      <c r="C902" s="312"/>
      <c r="D902" s="312"/>
      <c r="E902" s="312"/>
      <c r="F902" s="312"/>
      <c r="G902" s="312"/>
      <c r="H902" s="312"/>
      <c r="I902" s="312"/>
      <c r="J902" s="312"/>
      <c r="K902" s="312"/>
    </row>
    <row r="903" customFormat="false" ht="15" hidden="true" customHeight="false" outlineLevel="0" collapsed="false">
      <c r="A903" s="312"/>
      <c r="B903" s="312"/>
      <c r="C903" s="312"/>
      <c r="D903" s="312"/>
      <c r="E903" s="312"/>
      <c r="F903" s="312"/>
      <c r="G903" s="312"/>
      <c r="H903" s="312"/>
      <c r="I903" s="312"/>
      <c r="J903" s="312"/>
      <c r="K903" s="312"/>
    </row>
    <row r="904" customFormat="false" ht="15" hidden="true" customHeight="false" outlineLevel="0" collapsed="false">
      <c r="A904" s="312"/>
      <c r="B904" s="312"/>
      <c r="C904" s="312"/>
      <c r="D904" s="312"/>
      <c r="E904" s="312"/>
      <c r="F904" s="312"/>
      <c r="G904" s="312"/>
      <c r="H904" s="312"/>
      <c r="I904" s="312"/>
      <c r="J904" s="312"/>
      <c r="K904" s="312"/>
    </row>
    <row r="905" customFormat="false" ht="15" hidden="true" customHeight="false" outlineLevel="0" collapsed="false">
      <c r="A905" s="312"/>
      <c r="B905" s="312"/>
      <c r="C905" s="312"/>
      <c r="D905" s="312"/>
      <c r="E905" s="312"/>
      <c r="F905" s="312"/>
      <c r="G905" s="312"/>
      <c r="H905" s="312"/>
      <c r="I905" s="312"/>
      <c r="J905" s="312"/>
      <c r="K905" s="312"/>
    </row>
    <row r="906" customFormat="false" ht="15" hidden="true" customHeight="false" outlineLevel="0" collapsed="false">
      <c r="A906" s="312"/>
      <c r="B906" s="312"/>
      <c r="C906" s="312"/>
      <c r="D906" s="312"/>
      <c r="E906" s="312"/>
      <c r="F906" s="312"/>
      <c r="G906" s="312"/>
      <c r="H906" s="312"/>
      <c r="I906" s="312"/>
      <c r="J906" s="312"/>
      <c r="K906" s="312"/>
    </row>
    <row r="907" customFormat="false" ht="15" hidden="true" customHeight="false" outlineLevel="0" collapsed="false">
      <c r="A907" s="312"/>
      <c r="B907" s="312"/>
      <c r="C907" s="312"/>
      <c r="D907" s="312"/>
      <c r="E907" s="312"/>
      <c r="F907" s="312"/>
      <c r="G907" s="312"/>
      <c r="H907" s="312"/>
      <c r="I907" s="312"/>
      <c r="J907" s="312"/>
      <c r="K907" s="312"/>
    </row>
    <row r="908" customFormat="false" ht="15" hidden="true" customHeight="false" outlineLevel="0" collapsed="false">
      <c r="A908" s="312"/>
      <c r="B908" s="312"/>
      <c r="C908" s="312"/>
      <c r="D908" s="312"/>
      <c r="E908" s="312"/>
      <c r="F908" s="312"/>
      <c r="G908" s="312"/>
      <c r="H908" s="312"/>
      <c r="I908" s="312"/>
      <c r="J908" s="312"/>
      <c r="K908" s="312"/>
    </row>
    <row r="909" customFormat="false" ht="15" hidden="true" customHeight="false" outlineLevel="0" collapsed="false">
      <c r="A909" s="312"/>
      <c r="B909" s="312"/>
      <c r="C909" s="312"/>
      <c r="D909" s="312"/>
      <c r="E909" s="312"/>
      <c r="F909" s="312"/>
      <c r="G909" s="312"/>
      <c r="H909" s="312"/>
      <c r="I909" s="312"/>
      <c r="J909" s="312"/>
      <c r="K909" s="312"/>
    </row>
    <row r="910" customFormat="false" ht="15" hidden="true" customHeight="false" outlineLevel="0" collapsed="false">
      <c r="A910" s="312"/>
      <c r="B910" s="312"/>
      <c r="C910" s="312"/>
      <c r="D910" s="312"/>
      <c r="E910" s="312"/>
      <c r="F910" s="312"/>
      <c r="G910" s="312"/>
      <c r="H910" s="312"/>
      <c r="I910" s="312"/>
      <c r="J910" s="312"/>
      <c r="K910" s="312"/>
    </row>
    <row r="911" customFormat="false" ht="15" hidden="true" customHeight="false" outlineLevel="0" collapsed="false">
      <c r="A911" s="312"/>
      <c r="B911" s="312"/>
      <c r="C911" s="312"/>
      <c r="D911" s="312"/>
      <c r="E911" s="312"/>
      <c r="F911" s="312"/>
      <c r="G911" s="312"/>
      <c r="H911" s="312"/>
      <c r="I911" s="312"/>
      <c r="J911" s="312"/>
      <c r="K911" s="312"/>
    </row>
    <row r="912" customFormat="false" ht="15" hidden="true" customHeight="false" outlineLevel="0" collapsed="false">
      <c r="A912" s="312"/>
      <c r="B912" s="312"/>
      <c r="C912" s="312"/>
      <c r="D912" s="312"/>
      <c r="E912" s="312"/>
      <c r="F912" s="312"/>
      <c r="G912" s="312"/>
      <c r="H912" s="312"/>
      <c r="I912" s="312"/>
      <c r="J912" s="312"/>
      <c r="K912" s="312"/>
    </row>
    <row r="913" customFormat="false" ht="15" hidden="true" customHeight="false" outlineLevel="0" collapsed="false">
      <c r="A913" s="312"/>
      <c r="B913" s="312"/>
      <c r="C913" s="312"/>
      <c r="D913" s="312"/>
      <c r="E913" s="312"/>
      <c r="F913" s="312"/>
      <c r="G913" s="312"/>
      <c r="H913" s="312"/>
      <c r="I913" s="312"/>
      <c r="J913" s="312"/>
      <c r="K913" s="312"/>
    </row>
    <row r="914" customFormat="false" ht="15" hidden="true" customHeight="false" outlineLevel="0" collapsed="false">
      <c r="A914" s="312"/>
      <c r="B914" s="312"/>
      <c r="C914" s="312"/>
      <c r="D914" s="312"/>
      <c r="E914" s="312"/>
      <c r="F914" s="312"/>
      <c r="G914" s="312"/>
      <c r="H914" s="312"/>
      <c r="I914" s="312"/>
      <c r="J914" s="312"/>
      <c r="K914" s="312"/>
    </row>
    <row r="915" customFormat="false" ht="15" hidden="true" customHeight="false" outlineLevel="0" collapsed="false">
      <c r="A915" s="312"/>
      <c r="B915" s="312"/>
      <c r="C915" s="312"/>
      <c r="D915" s="312"/>
      <c r="E915" s="312"/>
      <c r="F915" s="312"/>
      <c r="G915" s="312"/>
      <c r="H915" s="312"/>
      <c r="I915" s="312"/>
      <c r="J915" s="312"/>
      <c r="K915" s="312"/>
    </row>
    <row r="916" customFormat="false" ht="15" hidden="true" customHeight="false" outlineLevel="0" collapsed="false">
      <c r="A916" s="312"/>
      <c r="B916" s="312"/>
      <c r="C916" s="312"/>
      <c r="D916" s="312"/>
      <c r="E916" s="312"/>
      <c r="F916" s="312"/>
      <c r="G916" s="312"/>
      <c r="H916" s="312"/>
      <c r="I916" s="312"/>
      <c r="J916" s="312"/>
      <c r="K916" s="312"/>
    </row>
    <row r="917" customFormat="false" ht="15" hidden="true" customHeight="false" outlineLevel="0" collapsed="false">
      <c r="A917" s="312"/>
      <c r="B917" s="312"/>
      <c r="C917" s="312"/>
      <c r="D917" s="312"/>
      <c r="E917" s="312"/>
      <c r="F917" s="312"/>
      <c r="G917" s="312"/>
      <c r="H917" s="312"/>
      <c r="I917" s="312"/>
      <c r="J917" s="312"/>
      <c r="K917" s="312"/>
    </row>
    <row r="918" customFormat="false" ht="15" hidden="true" customHeight="false" outlineLevel="0" collapsed="false">
      <c r="A918" s="312"/>
      <c r="B918" s="312"/>
      <c r="C918" s="312"/>
      <c r="D918" s="312"/>
      <c r="E918" s="312"/>
      <c r="F918" s="312"/>
      <c r="G918" s="312"/>
      <c r="H918" s="312"/>
      <c r="I918" s="312"/>
      <c r="J918" s="312"/>
      <c r="K918" s="312"/>
    </row>
    <row r="919" customFormat="false" ht="15" hidden="true" customHeight="false" outlineLevel="0" collapsed="false">
      <c r="A919" s="312"/>
      <c r="B919" s="312"/>
      <c r="C919" s="312"/>
      <c r="D919" s="312"/>
      <c r="E919" s="312"/>
      <c r="F919" s="312"/>
      <c r="G919" s="312"/>
      <c r="H919" s="312"/>
      <c r="I919" s="312"/>
      <c r="J919" s="312"/>
      <c r="K919" s="312"/>
    </row>
    <row r="920" customFormat="false" ht="15" hidden="true" customHeight="false" outlineLevel="0" collapsed="false">
      <c r="A920" s="312"/>
      <c r="B920" s="312"/>
      <c r="C920" s="312"/>
      <c r="D920" s="312"/>
      <c r="E920" s="312"/>
      <c r="F920" s="312"/>
      <c r="G920" s="312"/>
      <c r="H920" s="312"/>
      <c r="I920" s="312"/>
      <c r="J920" s="312"/>
      <c r="K920" s="312"/>
    </row>
    <row r="921" customFormat="false" ht="15" hidden="true" customHeight="false" outlineLevel="0" collapsed="false">
      <c r="A921" s="312"/>
      <c r="B921" s="312"/>
      <c r="C921" s="312"/>
      <c r="D921" s="312"/>
      <c r="E921" s="312"/>
      <c r="F921" s="312"/>
      <c r="G921" s="312"/>
      <c r="H921" s="312"/>
      <c r="I921" s="312"/>
      <c r="J921" s="312"/>
      <c r="K921" s="312"/>
    </row>
    <row r="922" customFormat="false" ht="15" hidden="true" customHeight="false" outlineLevel="0" collapsed="false">
      <c r="A922" s="312"/>
      <c r="B922" s="312"/>
      <c r="C922" s="312"/>
      <c r="D922" s="312"/>
      <c r="E922" s="312"/>
      <c r="F922" s="312"/>
      <c r="G922" s="312"/>
      <c r="H922" s="312"/>
      <c r="I922" s="312"/>
      <c r="J922" s="312"/>
      <c r="K922" s="312"/>
    </row>
    <row r="923" customFormat="false" ht="15" hidden="true" customHeight="false" outlineLevel="0" collapsed="false">
      <c r="A923" s="312"/>
      <c r="B923" s="312"/>
      <c r="C923" s="312"/>
      <c r="D923" s="312"/>
      <c r="E923" s="312"/>
      <c r="F923" s="312"/>
      <c r="G923" s="312"/>
      <c r="H923" s="312"/>
      <c r="I923" s="312"/>
      <c r="J923" s="312"/>
      <c r="K923" s="312"/>
    </row>
    <row r="924" customFormat="false" ht="15" hidden="true" customHeight="false" outlineLevel="0" collapsed="false">
      <c r="A924" s="312"/>
      <c r="B924" s="312"/>
      <c r="C924" s="312"/>
      <c r="D924" s="312"/>
      <c r="E924" s="312"/>
      <c r="F924" s="312"/>
      <c r="G924" s="312"/>
      <c r="H924" s="312"/>
      <c r="I924" s="312"/>
      <c r="J924" s="312"/>
      <c r="K924" s="312"/>
    </row>
    <row r="925" customFormat="false" ht="15" hidden="true" customHeight="false" outlineLevel="0" collapsed="false">
      <c r="A925" s="312"/>
      <c r="B925" s="312"/>
      <c r="C925" s="312"/>
      <c r="D925" s="312"/>
      <c r="E925" s="312"/>
      <c r="F925" s="312"/>
      <c r="G925" s="312"/>
      <c r="H925" s="312"/>
      <c r="I925" s="312"/>
      <c r="J925" s="312"/>
      <c r="K925" s="312"/>
    </row>
    <row r="926" customFormat="false" ht="15" hidden="true" customHeight="false" outlineLevel="0" collapsed="false">
      <c r="A926" s="312"/>
      <c r="B926" s="312"/>
      <c r="C926" s="312"/>
      <c r="D926" s="312"/>
      <c r="E926" s="312"/>
      <c r="F926" s="312"/>
      <c r="G926" s="312"/>
      <c r="H926" s="312"/>
      <c r="I926" s="312"/>
      <c r="J926" s="312"/>
      <c r="K926" s="312"/>
    </row>
    <row r="927" customFormat="false" ht="15" hidden="true" customHeight="false" outlineLevel="0" collapsed="false">
      <c r="A927" s="312"/>
      <c r="B927" s="312"/>
      <c r="C927" s="312"/>
      <c r="D927" s="312"/>
      <c r="E927" s="312"/>
      <c r="F927" s="312"/>
      <c r="G927" s="312"/>
      <c r="H927" s="312"/>
      <c r="I927" s="312"/>
      <c r="J927" s="312"/>
      <c r="K927" s="312"/>
    </row>
    <row r="928" customFormat="false" ht="15" hidden="true" customHeight="false" outlineLevel="0" collapsed="false">
      <c r="A928" s="312"/>
      <c r="B928" s="312"/>
      <c r="C928" s="312"/>
      <c r="D928" s="312"/>
      <c r="E928" s="312"/>
      <c r="F928" s="312"/>
      <c r="G928" s="312"/>
      <c r="H928" s="312"/>
      <c r="I928" s="312"/>
      <c r="J928" s="312"/>
      <c r="K928" s="312"/>
    </row>
    <row r="929" customFormat="false" ht="15" hidden="true" customHeight="false" outlineLevel="0" collapsed="false">
      <c r="A929" s="312"/>
      <c r="B929" s="312"/>
      <c r="C929" s="312"/>
      <c r="D929" s="312"/>
      <c r="E929" s="312"/>
      <c r="F929" s="312"/>
      <c r="G929" s="312"/>
      <c r="H929" s="312"/>
      <c r="I929" s="312"/>
      <c r="J929" s="312"/>
      <c r="K929" s="312"/>
    </row>
    <row r="930" customFormat="false" ht="15" hidden="true" customHeight="false" outlineLevel="0" collapsed="false">
      <c r="A930" s="312"/>
      <c r="B930" s="312"/>
      <c r="C930" s="312"/>
      <c r="D930" s="312"/>
      <c r="E930" s="312"/>
      <c r="F930" s="312"/>
      <c r="G930" s="312"/>
      <c r="H930" s="312"/>
      <c r="I930" s="312"/>
      <c r="J930" s="312"/>
      <c r="K930" s="312"/>
    </row>
    <row r="931" customFormat="false" ht="15" hidden="true" customHeight="false" outlineLevel="0" collapsed="false">
      <c r="A931" s="312"/>
      <c r="B931" s="312"/>
      <c r="C931" s="312"/>
      <c r="D931" s="312"/>
      <c r="E931" s="312"/>
      <c r="F931" s="312"/>
      <c r="G931" s="312"/>
      <c r="H931" s="312"/>
      <c r="I931" s="312"/>
      <c r="J931" s="312"/>
      <c r="K931" s="312"/>
    </row>
    <row r="932" customFormat="false" ht="15" hidden="true" customHeight="false" outlineLevel="0" collapsed="false">
      <c r="A932" s="312"/>
      <c r="B932" s="312"/>
      <c r="C932" s="312"/>
      <c r="D932" s="312"/>
      <c r="E932" s="312"/>
      <c r="F932" s="312"/>
      <c r="G932" s="312"/>
      <c r="H932" s="312"/>
      <c r="I932" s="312"/>
      <c r="J932" s="312"/>
      <c r="K932" s="312"/>
    </row>
    <row r="933" customFormat="false" ht="15" hidden="true" customHeight="false" outlineLevel="0" collapsed="false">
      <c r="A933" s="312"/>
      <c r="B933" s="312"/>
      <c r="C933" s="312"/>
      <c r="D933" s="312"/>
      <c r="E933" s="312"/>
      <c r="F933" s="312"/>
      <c r="G933" s="312"/>
      <c r="H933" s="312"/>
      <c r="I933" s="312"/>
      <c r="J933" s="312"/>
      <c r="K933" s="312"/>
    </row>
    <row r="934" customFormat="false" ht="15" hidden="true" customHeight="false" outlineLevel="0" collapsed="false">
      <c r="A934" s="312"/>
      <c r="B934" s="312"/>
      <c r="C934" s="312"/>
      <c r="D934" s="312"/>
      <c r="E934" s="312"/>
      <c r="F934" s="312"/>
      <c r="G934" s="312"/>
      <c r="H934" s="312"/>
      <c r="I934" s="312"/>
      <c r="J934" s="312"/>
      <c r="K934" s="312"/>
    </row>
    <row r="935" customFormat="false" ht="15" hidden="true" customHeight="false" outlineLevel="0" collapsed="false">
      <c r="A935" s="312"/>
      <c r="B935" s="312"/>
      <c r="C935" s="312"/>
      <c r="D935" s="312"/>
      <c r="E935" s="312"/>
      <c r="F935" s="312"/>
      <c r="G935" s="312"/>
      <c r="H935" s="312"/>
      <c r="I935" s="312"/>
      <c r="J935" s="312"/>
      <c r="K935" s="312"/>
    </row>
    <row r="936" customFormat="false" ht="15" hidden="true" customHeight="false" outlineLevel="0" collapsed="false">
      <c r="A936" s="312"/>
      <c r="B936" s="312"/>
      <c r="C936" s="312"/>
      <c r="D936" s="312"/>
      <c r="E936" s="312"/>
      <c r="F936" s="312"/>
      <c r="G936" s="312"/>
      <c r="H936" s="312"/>
      <c r="I936" s="312"/>
      <c r="J936" s="312"/>
      <c r="K936" s="312"/>
    </row>
    <row r="937" customFormat="false" ht="15" hidden="true" customHeight="false" outlineLevel="0" collapsed="false">
      <c r="A937" s="312"/>
      <c r="B937" s="312"/>
      <c r="C937" s="312"/>
      <c r="D937" s="312"/>
      <c r="E937" s="312"/>
      <c r="F937" s="312"/>
      <c r="G937" s="312"/>
      <c r="H937" s="312"/>
      <c r="I937" s="312"/>
      <c r="J937" s="312"/>
      <c r="K937" s="312"/>
    </row>
    <row r="938" customFormat="false" ht="15" hidden="true" customHeight="false" outlineLevel="0" collapsed="false">
      <c r="A938" s="312"/>
      <c r="B938" s="312"/>
      <c r="C938" s="312"/>
      <c r="D938" s="312"/>
      <c r="E938" s="312"/>
      <c r="F938" s="312"/>
      <c r="G938" s="312"/>
      <c r="H938" s="312"/>
      <c r="I938" s="312"/>
      <c r="J938" s="312"/>
      <c r="K938" s="312"/>
    </row>
    <row r="939" customFormat="false" ht="15" hidden="true" customHeight="false" outlineLevel="0" collapsed="false">
      <c r="A939" s="312"/>
      <c r="B939" s="312"/>
      <c r="C939" s="312"/>
      <c r="D939" s="312"/>
      <c r="E939" s="312"/>
      <c r="F939" s="312"/>
      <c r="G939" s="312"/>
      <c r="H939" s="312"/>
      <c r="I939" s="312"/>
      <c r="J939" s="312"/>
      <c r="K939" s="312"/>
    </row>
    <row r="940" customFormat="false" ht="15" hidden="true" customHeight="false" outlineLevel="0" collapsed="false">
      <c r="A940" s="312"/>
      <c r="B940" s="312"/>
      <c r="C940" s="312"/>
      <c r="D940" s="312"/>
      <c r="E940" s="312"/>
      <c r="F940" s="312"/>
      <c r="G940" s="312"/>
      <c r="H940" s="312"/>
      <c r="I940" s="312"/>
      <c r="J940" s="312"/>
      <c r="K940" s="312"/>
    </row>
    <row r="941" customFormat="false" ht="15" hidden="true" customHeight="false" outlineLevel="0" collapsed="false">
      <c r="A941" s="312"/>
      <c r="B941" s="312"/>
      <c r="C941" s="312"/>
      <c r="D941" s="312"/>
      <c r="E941" s="312"/>
      <c r="F941" s="312"/>
      <c r="G941" s="312"/>
      <c r="H941" s="312"/>
      <c r="I941" s="312"/>
      <c r="J941" s="312"/>
      <c r="K941" s="312"/>
    </row>
    <row r="942" customFormat="false" ht="15" hidden="true" customHeight="false" outlineLevel="0" collapsed="false">
      <c r="A942" s="312"/>
      <c r="B942" s="312"/>
      <c r="C942" s="312"/>
      <c r="D942" s="312"/>
      <c r="E942" s="312"/>
      <c r="F942" s="312"/>
      <c r="G942" s="312"/>
      <c r="H942" s="312"/>
      <c r="I942" s="312"/>
      <c r="J942" s="312"/>
      <c r="K942" s="312"/>
    </row>
    <row r="943" customFormat="false" ht="15" hidden="true" customHeight="false" outlineLevel="0" collapsed="false">
      <c r="A943" s="312"/>
      <c r="B943" s="312"/>
      <c r="C943" s="312"/>
      <c r="D943" s="312"/>
      <c r="E943" s="312"/>
      <c r="F943" s="312"/>
      <c r="G943" s="312"/>
      <c r="H943" s="312"/>
      <c r="I943" s="312"/>
      <c r="J943" s="312"/>
      <c r="K943" s="312"/>
    </row>
    <row r="944" customFormat="false" ht="15" hidden="true" customHeight="false" outlineLevel="0" collapsed="false">
      <c r="A944" s="312"/>
      <c r="B944" s="312"/>
      <c r="C944" s="312"/>
      <c r="D944" s="312"/>
      <c r="E944" s="312"/>
      <c r="F944" s="312"/>
      <c r="G944" s="312"/>
      <c r="H944" s="312"/>
      <c r="I944" s="312"/>
      <c r="J944" s="312"/>
      <c r="K944" s="312"/>
    </row>
    <row r="945" customFormat="false" ht="15" hidden="true" customHeight="false" outlineLevel="0" collapsed="false">
      <c r="A945" s="312"/>
      <c r="B945" s="312"/>
      <c r="C945" s="312"/>
      <c r="D945" s="312"/>
      <c r="E945" s="312"/>
      <c r="F945" s="312"/>
      <c r="G945" s="312"/>
      <c r="H945" s="312"/>
      <c r="I945" s="312"/>
      <c r="J945" s="312"/>
      <c r="K945" s="312"/>
    </row>
    <row r="946" customFormat="false" ht="15" hidden="true" customHeight="false" outlineLevel="0" collapsed="false">
      <c r="A946" s="312"/>
      <c r="B946" s="312"/>
      <c r="C946" s="312"/>
      <c r="D946" s="312"/>
      <c r="E946" s="312"/>
      <c r="F946" s="312"/>
      <c r="G946" s="312"/>
      <c r="H946" s="312"/>
      <c r="I946" s="312"/>
      <c r="J946" s="312"/>
      <c r="K946" s="312"/>
    </row>
    <row r="947" customFormat="false" ht="15" hidden="true" customHeight="false" outlineLevel="0" collapsed="false">
      <c r="A947" s="312"/>
      <c r="B947" s="312"/>
      <c r="C947" s="312"/>
      <c r="D947" s="312"/>
      <c r="E947" s="312"/>
      <c r="F947" s="312"/>
      <c r="G947" s="312"/>
      <c r="H947" s="312"/>
      <c r="I947" s="312"/>
      <c r="J947" s="312"/>
      <c r="K947" s="312"/>
    </row>
    <row r="948" customFormat="false" ht="15" hidden="true" customHeight="false" outlineLevel="0" collapsed="false">
      <c r="A948" s="312"/>
      <c r="B948" s="312"/>
      <c r="C948" s="312"/>
      <c r="D948" s="312"/>
      <c r="E948" s="312"/>
      <c r="F948" s="312"/>
      <c r="G948" s="312"/>
      <c r="H948" s="312"/>
      <c r="I948" s="312"/>
      <c r="J948" s="312"/>
      <c r="K948" s="312"/>
    </row>
    <row r="949" customFormat="false" ht="15" hidden="true" customHeight="false" outlineLevel="0" collapsed="false">
      <c r="A949" s="312"/>
      <c r="B949" s="312"/>
      <c r="C949" s="312"/>
      <c r="D949" s="312"/>
      <c r="E949" s="312"/>
      <c r="F949" s="312"/>
      <c r="G949" s="312"/>
      <c r="H949" s="312"/>
      <c r="I949" s="312"/>
      <c r="J949" s="312"/>
      <c r="K949" s="312"/>
    </row>
    <row r="950" customFormat="false" ht="15" hidden="true" customHeight="false" outlineLevel="0" collapsed="false">
      <c r="A950" s="312"/>
      <c r="B950" s="312"/>
      <c r="C950" s="312"/>
      <c r="D950" s="312"/>
      <c r="E950" s="312"/>
      <c r="F950" s="312"/>
      <c r="G950" s="312"/>
      <c r="H950" s="312"/>
      <c r="I950" s="312"/>
      <c r="J950" s="312"/>
      <c r="K950" s="312"/>
    </row>
    <row r="951" customFormat="false" ht="15" hidden="true" customHeight="false" outlineLevel="0" collapsed="false">
      <c r="A951" s="312"/>
      <c r="B951" s="312"/>
      <c r="C951" s="312"/>
      <c r="D951" s="312"/>
      <c r="E951" s="312"/>
      <c r="F951" s="312"/>
      <c r="G951" s="312"/>
      <c r="H951" s="312"/>
      <c r="I951" s="312"/>
      <c r="J951" s="312"/>
      <c r="K951" s="312"/>
    </row>
    <row r="952" customFormat="false" ht="15" hidden="true" customHeight="false" outlineLevel="0" collapsed="false">
      <c r="A952" s="312"/>
      <c r="B952" s="312"/>
      <c r="C952" s="312"/>
      <c r="D952" s="312"/>
      <c r="E952" s="312"/>
      <c r="F952" s="312"/>
      <c r="G952" s="312"/>
      <c r="H952" s="312"/>
      <c r="I952" s="312"/>
      <c r="J952" s="312"/>
      <c r="K952" s="312"/>
    </row>
    <row r="953" customFormat="false" ht="15" hidden="true" customHeight="false" outlineLevel="0" collapsed="false">
      <c r="A953" s="312"/>
      <c r="B953" s="312"/>
      <c r="C953" s="312"/>
      <c r="D953" s="312"/>
      <c r="E953" s="312"/>
      <c r="F953" s="312"/>
      <c r="G953" s="312"/>
      <c r="H953" s="312"/>
      <c r="I953" s="312"/>
      <c r="J953" s="312"/>
      <c r="K953" s="312"/>
    </row>
    <row r="954" customFormat="false" ht="15" hidden="true" customHeight="false" outlineLevel="0" collapsed="false">
      <c r="A954" s="312"/>
      <c r="B954" s="312"/>
      <c r="C954" s="312"/>
      <c r="D954" s="312"/>
      <c r="E954" s="312"/>
      <c r="F954" s="312"/>
      <c r="G954" s="312"/>
      <c r="H954" s="312"/>
      <c r="I954" s="312"/>
      <c r="J954" s="312"/>
      <c r="K954" s="312"/>
    </row>
    <row r="955" customFormat="false" ht="15" hidden="true" customHeight="false" outlineLevel="0" collapsed="false">
      <c r="A955" s="312"/>
      <c r="B955" s="312"/>
      <c r="C955" s="312"/>
      <c r="D955" s="312"/>
      <c r="E955" s="312"/>
      <c r="F955" s="312"/>
      <c r="G955" s="312"/>
      <c r="H955" s="312"/>
      <c r="I955" s="312"/>
      <c r="J955" s="312"/>
      <c r="K955" s="312"/>
    </row>
    <row r="956" customFormat="false" ht="15" hidden="true" customHeight="false" outlineLevel="0" collapsed="false">
      <c r="A956" s="312"/>
      <c r="B956" s="312"/>
      <c r="C956" s="312"/>
      <c r="D956" s="312"/>
      <c r="E956" s="312"/>
      <c r="F956" s="312"/>
      <c r="G956" s="312"/>
      <c r="H956" s="312"/>
      <c r="I956" s="312"/>
      <c r="J956" s="312"/>
      <c r="K956" s="312"/>
    </row>
    <row r="957" customFormat="false" ht="15" hidden="true" customHeight="false" outlineLevel="0" collapsed="false">
      <c r="A957" s="312"/>
      <c r="B957" s="312"/>
      <c r="C957" s="312"/>
      <c r="D957" s="312"/>
      <c r="E957" s="312"/>
      <c r="F957" s="312"/>
      <c r="G957" s="312"/>
      <c r="H957" s="312"/>
      <c r="I957" s="312"/>
      <c r="J957" s="312"/>
      <c r="K957" s="312"/>
    </row>
    <row r="958" customFormat="false" ht="15" hidden="true" customHeight="false" outlineLevel="0" collapsed="false">
      <c r="A958" s="312"/>
      <c r="B958" s="312"/>
      <c r="C958" s="312"/>
      <c r="D958" s="312"/>
      <c r="E958" s="312"/>
      <c r="F958" s="312"/>
      <c r="G958" s="312"/>
      <c r="H958" s="312"/>
      <c r="I958" s="312"/>
      <c r="J958" s="312"/>
      <c r="K958" s="312"/>
    </row>
    <row r="959" customFormat="false" ht="15" hidden="true" customHeight="false" outlineLevel="0" collapsed="false">
      <c r="A959" s="312"/>
      <c r="B959" s="312"/>
      <c r="C959" s="312"/>
      <c r="D959" s="312"/>
      <c r="E959" s="312"/>
      <c r="F959" s="312"/>
      <c r="G959" s="312"/>
      <c r="H959" s="312"/>
      <c r="I959" s="312"/>
      <c r="J959" s="312"/>
      <c r="K959" s="312"/>
    </row>
    <row r="960" customFormat="false" ht="15" hidden="true" customHeight="false" outlineLevel="0" collapsed="false">
      <c r="A960" s="312"/>
      <c r="B960" s="312"/>
      <c r="C960" s="312"/>
      <c r="D960" s="312"/>
      <c r="E960" s="312"/>
      <c r="F960" s="312"/>
      <c r="G960" s="312"/>
      <c r="H960" s="312"/>
      <c r="I960" s="312"/>
      <c r="J960" s="312"/>
      <c r="K960" s="312"/>
    </row>
    <row r="961" customFormat="false" ht="15" hidden="true" customHeight="false" outlineLevel="0" collapsed="false">
      <c r="A961" s="312"/>
      <c r="B961" s="312"/>
      <c r="C961" s="312"/>
      <c r="D961" s="312"/>
      <c r="E961" s="312"/>
      <c r="F961" s="312"/>
      <c r="G961" s="312"/>
      <c r="H961" s="312"/>
      <c r="I961" s="312"/>
      <c r="J961" s="312"/>
      <c r="K961" s="312"/>
    </row>
    <row r="962" customFormat="false" ht="15" hidden="true" customHeight="false" outlineLevel="0" collapsed="false">
      <c r="A962" s="312"/>
      <c r="B962" s="312"/>
      <c r="C962" s="312"/>
      <c r="D962" s="312"/>
      <c r="E962" s="312"/>
      <c r="F962" s="312"/>
      <c r="G962" s="312"/>
      <c r="H962" s="312"/>
      <c r="I962" s="312"/>
      <c r="J962" s="312"/>
      <c r="K962" s="312"/>
    </row>
    <row r="963" customFormat="false" ht="15" hidden="false" customHeight="false" outlineLevel="0" collapsed="false"/>
  </sheetData>
  <sheetProtection algorithmName="SHA-512" hashValue="5lVhjBBj3Vz32/r3F9PA378FNZnkMW0R/9wdp2CasIig5HxYlLMjWoGNXltCVTyvs42EaTdtES6ngr4yEAt4dg==" saltValue="NV5Y54K80XLT9lMRjf5k5A==" spinCount="100000" sheet="true" objects="true" scenarios="true"/>
  <autoFilter ref="A2:V333"/>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636C"/>
    <pageSetUpPr fitToPage="false"/>
  </sheetPr>
  <dimension ref="A1:J112"/>
  <sheetViews>
    <sheetView showFormulas="false" showGridLines="false" showRowColHeaders="true" showZeros="false" rightToLeft="false" tabSelected="false" showOutlineSymbols="true" defaultGridColor="true" view="normal" topLeftCell="A40" colorId="64" zoomScale="95" zoomScaleNormal="95" zoomScalePageLayoutView="100" workbookViewId="0">
      <selection pane="topLeft" activeCell="E67" activeCellId="0" sqref="E67"/>
    </sheetView>
  </sheetViews>
  <sheetFormatPr defaultColWidth="6.6015625" defaultRowHeight="12.8" customHeight="true" zeroHeight="true" outlineLevelRow="0" outlineLevelCol="0"/>
  <cols>
    <col collapsed="false" customWidth="true" hidden="false" outlineLevel="0" max="1" min="1" style="0" width="8.3"/>
    <col collapsed="false" customWidth="true" hidden="false" outlineLevel="0" max="2" min="2" style="1" width="55.1"/>
    <col collapsed="false" customWidth="true" hidden="false" outlineLevel="0" max="3" min="3" style="2" width="18.9"/>
    <col collapsed="false" customWidth="true" hidden="false" outlineLevel="0" max="4" min="4" style="3" width="55.7"/>
    <col collapsed="false" customWidth="true" hidden="false" outlineLevel="0" max="5" min="5" style="4" width="32"/>
    <col collapsed="false" customWidth="true" hidden="false" outlineLevel="0" max="6" min="6" style="1" width="30.7"/>
    <col collapsed="false" customWidth="true" hidden="false" outlineLevel="0" max="7" min="7" style="1" width="18.1"/>
    <col collapsed="false" customWidth="true" hidden="true" outlineLevel="0" max="8" min="8" style="1" width="18.1"/>
    <col collapsed="false" customWidth="true" hidden="true" outlineLevel="0" max="10" min="9" style="5" width="18.1"/>
    <col collapsed="false" customWidth="true" hidden="true" outlineLevel="0" max="11" min="11" style="1" width="4.5"/>
    <col collapsed="false" customWidth="false" hidden="true" outlineLevel="0" max="12" min="12" style="1" width="6.6"/>
    <col collapsed="false" customWidth="false" hidden="true" outlineLevel="0" max="16384" min="13" style="0" width="6.6"/>
  </cols>
  <sheetData>
    <row r="1" customFormat="false" ht="231.3" hidden="true" customHeight="false" outlineLevel="0" collapsed="false">
      <c r="A1" s="0" t="s">
        <v>0</v>
      </c>
    </row>
    <row r="2" customFormat="false" ht="36" hidden="false" customHeight="true" outlineLevel="0" collapsed="false">
      <c r="A2" s="7" t="s">
        <v>51</v>
      </c>
      <c r="B2" s="7"/>
      <c r="C2" s="8"/>
      <c r="D2" s="9"/>
      <c r="E2" s="10"/>
      <c r="F2" s="10" t="str">
        <f aca="false">'Auto Responses'!$A$36</f>
        <v>Version 4.1.2</v>
      </c>
      <c r="J2" s="1"/>
    </row>
    <row r="3" s="1" customFormat="true" ht="28.5" hidden="false" customHeight="true" outlineLevel="0" collapsed="false">
      <c r="A3" s="11" t="s">
        <v>2</v>
      </c>
      <c r="B3" s="12"/>
      <c r="C3" s="62" t="n">
        <f aca="false">'START HERE'!$C$3</f>
        <v>0</v>
      </c>
      <c r="D3" s="14"/>
      <c r="E3" s="15"/>
      <c r="F3" s="16"/>
      <c r="I3" s="5"/>
    </row>
    <row r="4" s="1" customFormat="true" ht="36" hidden="false" customHeight="true" outlineLevel="0" collapsed="false">
      <c r="A4" s="17" t="s">
        <v>3</v>
      </c>
      <c r="B4" s="18"/>
      <c r="C4" s="19"/>
      <c r="D4" s="20"/>
      <c r="E4" s="21"/>
      <c r="F4" s="21"/>
      <c r="I4" s="5"/>
    </row>
    <row r="5" s="1" customFormat="true" ht="19.5" hidden="false" customHeight="true" outlineLevel="0" collapsed="false">
      <c r="A5" s="22" t="str">
        <f aca="false">HLOOKUP($A$4,'Auto Responses'!$D$2:$D$8,2,0)&amp;""</f>
        <v>1. Complete the "Start Here" tab and review the "Required Questions" guidance to find the other sections are required for your product or service.</v>
      </c>
      <c r="B5" s="23"/>
      <c r="C5" s="24"/>
      <c r="D5" s="25"/>
      <c r="E5" s="23"/>
      <c r="F5" s="26"/>
      <c r="I5" s="5"/>
    </row>
    <row r="6" s="1" customFormat="true" ht="19.5" hidden="false" customHeight="true" outlineLevel="0" collapsed="false">
      <c r="A6" s="22" t="str">
        <f aca="false">HLOOKUP($A$4,'Auto Responses'!$D$2:$D$8,3,0)&amp;""</f>
        <v>2. Complete the "Organization" tab and the applicable questions in each of the next 5 tabs (Product through Privacy) that apply, based on your answers to the "Required Questions."</v>
      </c>
      <c r="B6" s="23"/>
      <c r="C6" s="24"/>
      <c r="D6" s="25"/>
      <c r="E6" s="23"/>
      <c r="F6" s="27"/>
      <c r="I6" s="5"/>
    </row>
    <row r="7" s="1" customFormat="true" ht="19.5" hidden="false" customHeight="true" outlineLevel="0" collapsed="false">
      <c r="A7" s="22" t="str">
        <f aca="false">HLOOKUP($A$4,'Auto Responses'!$D$2:$D$8,4,0)&amp;""</f>
        <v>3. Guidance in column E may change based on your answers to prompt details in "Additional Information." If leaving an answer blank, you must also state why in "Additional Information". </v>
      </c>
      <c r="B7" s="23"/>
      <c r="C7" s="24"/>
      <c r="D7" s="25"/>
      <c r="E7" s="23"/>
      <c r="F7" s="27"/>
      <c r="I7" s="5"/>
    </row>
    <row r="8" s="1" customFormat="true" ht="19.5" hidden="false" customHeight="true" outlineLevel="0" collapsed="false">
      <c r="A8" s="22" t="str">
        <f aca="false">HLOOKUP($A$4,'Auto Responses'!$D$2:$D$8,5,0)&amp;""</f>
        <v>4. DO NOT complete any fields in the "Evaluation" sheets or the "Analyst Notes" column.</v>
      </c>
      <c r="B8" s="23"/>
      <c r="C8" s="24"/>
      <c r="D8" s="25"/>
      <c r="E8" s="23"/>
      <c r="F8" s="27"/>
      <c r="I8" s="5"/>
    </row>
    <row r="9" s="1" customFormat="true" ht="19.5" hidden="false" customHeight="true" outlineLevel="0" collapsed="false">
      <c r="A9" s="22" t="str">
        <f aca="false">HLOOKUP($A$4,'Auto Responses'!$D$2:$D$8,6,0)&amp;""</f>
        <v>5. Return the completed file to institutions.</v>
      </c>
      <c r="B9" s="23"/>
      <c r="C9" s="24"/>
      <c r="D9" s="25"/>
      <c r="E9" s="23"/>
      <c r="F9" s="27"/>
      <c r="I9" s="5"/>
    </row>
    <row r="10" s="1" customFormat="true" ht="19.5" hidden="false" customHeight="true" outlineLevel="0" collapsed="false">
      <c r="A10" s="28" t="str">
        <f aca="false">HLOOKUP($A$4,'Auto Responses'!$D$2:$D$8,7,0)&amp;""</f>
        <v>* Denotes critical questions. Critical questions are those deemed most important to institutions by higher education volunteers.</v>
      </c>
      <c r="B10" s="23"/>
      <c r="C10" s="24"/>
      <c r="D10" s="25"/>
      <c r="E10" s="23"/>
      <c r="F10" s="27"/>
      <c r="I10" s="5"/>
    </row>
    <row r="11" s="66" customFormat="true" ht="19.5" hidden="false" customHeight="true" outlineLevel="0" collapsed="false">
      <c r="A11" s="29" t="str">
        <f aca="false">HLOOKUP($A$4,'Auto Responses'!$D$2:$D$9,8,0)&amp;""</f>
        <v>For full instructions, please visit educause.edu/HECVAT</v>
      </c>
      <c r="B11" s="28"/>
      <c r="C11" s="63"/>
      <c r="D11" s="64"/>
      <c r="E11" s="28"/>
      <c r="F11" s="65"/>
      <c r="I11" s="67"/>
    </row>
    <row r="12" s="1" customFormat="true" ht="36" hidden="false" customHeight="true" outlineLevel="0" collapsed="false">
      <c r="A12" s="31" t="str">
        <f aca="false">VLOOKUP(LEFT($A13,4),'Auto Responses'!$N$4:$O$38,2,0)&amp;""</f>
        <v> General Information</v>
      </c>
      <c r="B12" s="18"/>
      <c r="C12" s="19" t="s">
        <v>21</v>
      </c>
      <c r="D12" s="33"/>
      <c r="E12" s="34"/>
      <c r="F12" s="34"/>
      <c r="I12" s="5"/>
      <c r="J12" s="5"/>
    </row>
    <row r="13" s="1" customFormat="true" ht="21.75" hidden="false" customHeight="true" outlineLevel="0" collapsed="false">
      <c r="A13" s="35" t="s">
        <v>4</v>
      </c>
      <c r="B13" s="36" t="str">
        <f aca="false">VLOOKUP($A13,Questions!$A$2:$X$333,2,0)&amp;""</f>
        <v>Solution Provider Name</v>
      </c>
      <c r="C13" s="37" t="str">
        <f aca="false">VLOOKUP($A13,'START HERE'!$A$13:$C$21,3,0)&amp;""</f>
        <v>QGIS.org</v>
      </c>
      <c r="D13" s="38"/>
      <c r="E13" s="38"/>
      <c r="F13" s="16"/>
      <c r="I13" s="5"/>
      <c r="J13" s="5"/>
    </row>
    <row r="14" s="1" customFormat="true" ht="21.75" hidden="false" customHeight="true" outlineLevel="0" collapsed="false">
      <c r="A14" s="35" t="s">
        <v>6</v>
      </c>
      <c r="B14" s="36" t="str">
        <f aca="false">VLOOKUP($A14,Questions!$A$2:$X$333,2,0)&amp;""</f>
        <v>Solution Name</v>
      </c>
      <c r="C14" s="37" t="str">
        <f aca="false">VLOOKUP($A14,'START HERE'!$A$13:$C$21,3,0)&amp;""</f>
        <v>QGIS.org</v>
      </c>
      <c r="D14" s="38"/>
      <c r="E14" s="38"/>
      <c r="F14" s="16"/>
      <c r="I14" s="5"/>
      <c r="J14" s="5"/>
    </row>
    <row r="15" s="1" customFormat="true" ht="21.75" hidden="false" customHeight="true" outlineLevel="0" collapsed="false">
      <c r="A15" s="35" t="s">
        <v>7</v>
      </c>
      <c r="B15" s="36" t="str">
        <f aca="false">VLOOKUP($A15,Questions!$A$2:$X$333,2,0)&amp;""</f>
        <v>Solution Description</v>
      </c>
      <c r="C15" s="37" t="str">
        <f aca="false">VLOOKUP($A15,'START HERE'!$A$13:$C$21,3,0)&amp;""</f>
        <v>QGIS is a free and open source Geographic information system, running on Windows, MacOS, Linux and with solution for mobile OS.</v>
      </c>
      <c r="D15" s="38"/>
      <c r="E15" s="38"/>
      <c r="F15" s="16"/>
      <c r="I15" s="5"/>
      <c r="J15" s="5"/>
    </row>
    <row r="16" s="1" customFormat="true" ht="21.75" hidden="false" customHeight="true" outlineLevel="0" collapsed="false">
      <c r="A16" s="35" t="s">
        <v>9</v>
      </c>
      <c r="B16" s="36" t="str">
        <f aca="false">VLOOKUP($A16,Questions!$A$2:$X$333,2,0)&amp;""</f>
        <v>Solution Provider Contact Name</v>
      </c>
      <c r="C16" s="37" t="str">
        <f aca="false">VLOOKUP($A16,'START HERE'!$A$13:$C$21,3,0)&amp;""</f>
        <v>Program Steering Commitee (PSC)</v>
      </c>
      <c r="D16" s="38"/>
      <c r="E16" s="38"/>
      <c r="F16" s="16"/>
      <c r="I16" s="5"/>
      <c r="J16" s="5"/>
    </row>
    <row r="17" s="1" customFormat="true" ht="21.75" hidden="false" customHeight="true" outlineLevel="0" collapsed="false">
      <c r="A17" s="35" t="s">
        <v>11</v>
      </c>
      <c r="B17" s="36" t="str">
        <f aca="false">VLOOKUP($A17,Questions!$A$2:$X$333,2,0)&amp;""</f>
        <v>Solution Provider Contact Title</v>
      </c>
      <c r="C17" s="37" t="str">
        <f aca="false">VLOOKUP($A17,'START HERE'!$A$13:$C$21,3,0)&amp;""</f>
        <v>PSC</v>
      </c>
      <c r="D17" s="38"/>
      <c r="E17" s="38"/>
      <c r="F17" s="16"/>
      <c r="I17" s="5"/>
      <c r="J17" s="5"/>
    </row>
    <row r="18" s="1" customFormat="true" ht="21.75" hidden="false" customHeight="true" outlineLevel="0" collapsed="false">
      <c r="A18" s="35" t="s">
        <v>13</v>
      </c>
      <c r="B18" s="36" t="str">
        <f aca="false">VLOOKUP($A18,Questions!$A$2:$X$333,2,0)&amp;""</f>
        <v>Solution Provider Contact Email</v>
      </c>
      <c r="C18" s="37" t="str">
        <f aca="false">VLOOKUP($A18,'START HERE'!$A$13:$C$21,3,0)&amp;""</f>
        <v>qgis-psc@lists.osgeo.org.</v>
      </c>
      <c r="D18" s="38"/>
      <c r="E18" s="38"/>
      <c r="F18" s="16"/>
      <c r="I18" s="5"/>
      <c r="J18" s="5"/>
    </row>
    <row r="19" s="1" customFormat="true" ht="21.75" hidden="false" customHeight="true" outlineLevel="0" collapsed="false">
      <c r="A19" s="35" t="s">
        <v>15</v>
      </c>
      <c r="B19" s="36" t="str">
        <f aca="false">VLOOKUP($A19,Questions!$A$2:$X$333,2,0)&amp;""</f>
        <v>Solution Provider Contact Phone Number</v>
      </c>
      <c r="C19" s="37" t="str">
        <f aca="false">VLOOKUP($A19,'START HERE'!$A$13:$C$21,3,0)&amp;""</f>
        <v>NA</v>
      </c>
      <c r="D19" s="38"/>
      <c r="E19" s="38"/>
      <c r="F19" s="16"/>
      <c r="I19" s="5"/>
      <c r="J19" s="5"/>
    </row>
    <row r="20" s="1" customFormat="true" ht="21.75" hidden="false" customHeight="true" outlineLevel="0" collapsed="false">
      <c r="A20" s="35" t="s">
        <v>17</v>
      </c>
      <c r="B20" s="36" t="str">
        <f aca="false">VLOOKUP($A20,Questions!$A$2:$X$333,2,0)&amp;""</f>
        <v>Country of Company Headquarters</v>
      </c>
      <c r="C20" s="37" t="str">
        <f aca="false">VLOOKUP($A20,'START HERE'!$A$13:$C$21,3,0)&amp;""</f>
        <v>Switzerland</v>
      </c>
      <c r="D20" s="38"/>
      <c r="E20" s="38"/>
      <c r="F20" s="16"/>
      <c r="I20" s="5"/>
      <c r="J20" s="5"/>
    </row>
    <row r="21" s="1" customFormat="true" ht="36.75" hidden="false" customHeight="true" outlineLevel="0" collapsed="false">
      <c r="A21" s="31" t="str">
        <f aca="false">VLOOKUP(LEFT($A22,4),'Auto Responses'!$N$4:$O$38,2,0)&amp;""</f>
        <v> Documentation</v>
      </c>
      <c r="B21" s="42"/>
      <c r="C21" s="19" t="s">
        <v>21</v>
      </c>
      <c r="D21" s="19" t="s">
        <v>22</v>
      </c>
      <c r="E21" s="43" t="s">
        <v>23</v>
      </c>
      <c r="F21" s="52" t="s">
        <v>24</v>
      </c>
      <c r="I21" s="5"/>
      <c r="J21" s="5"/>
    </row>
    <row r="22" s="1" customFormat="true" ht="38.25" hidden="false" customHeight="true" outlineLevel="0" collapsed="false">
      <c r="A22" s="35" t="s">
        <v>52</v>
      </c>
      <c r="B22" s="45" t="str">
        <f aca="false">VLOOKUP($A22,Questions!$A$2:$X$333,2,0)</f>
        <v>Do you have a well-documented business continuity plan (BCP), with a clear owner, that is tested annually?*</v>
      </c>
      <c r="C22" s="46" t="s">
        <v>26</v>
      </c>
      <c r="D22" s="68" t="s">
        <v>53</v>
      </c>
      <c r="E22" s="48" t="str">
        <f aca="false">IF($C22="Yes",VLOOKUP($A22,Questions!$A$2:$X$333,17,0)&amp;"",IF($C22="No",VLOOKUP($A22,Questions!$A$2:$X$333,16,0)&amp;"",VLOOKUP($A22,Questions!$A$2:$X$333,15,0)&amp;""))</f>
        <v/>
      </c>
      <c r="F22" s="49" t="str">
        <f aca="false">VLOOKUP($A22,'Institution Evaluation'!$A$56:$F$346,6,0)&amp;""</f>
        <v/>
      </c>
      <c r="I22" s="5"/>
      <c r="J22" s="5"/>
    </row>
    <row r="23" s="1" customFormat="true" ht="38.25" hidden="false" customHeight="true" outlineLevel="0" collapsed="false">
      <c r="A23" s="35" t="s">
        <v>54</v>
      </c>
      <c r="B23" s="45" t="str">
        <f aca="false">VLOOKUP($A23,Questions!$A$2:$X$333,2,0)</f>
        <v>Do you have a well-documented disaster recovery plan (DRP), with a clear owner, that is tested annually?*</v>
      </c>
      <c r="C23" s="46" t="s">
        <v>26</v>
      </c>
      <c r="D23" s="69" t="s">
        <v>53</v>
      </c>
      <c r="E23" s="48" t="str">
        <f aca="false">IF($C23="Yes",VLOOKUP($A23,Questions!$A$2:$X$333,17,0)&amp;"",IF($C23="No",VLOOKUP($A23,Questions!$A$2:$X$333,16,0)&amp;"",VLOOKUP($A23,Questions!$A$2:$X$333,15,0)&amp;""))</f>
        <v/>
      </c>
      <c r="F23" s="49" t="str">
        <f aca="false">VLOOKUP($A23,'Institution Evaluation'!$A$56:$F$346,6,0)&amp;""</f>
        <v/>
      </c>
      <c r="I23" s="5"/>
      <c r="J23" s="5"/>
    </row>
    <row r="24" s="1" customFormat="true" ht="45.75" hidden="false" customHeight="true" outlineLevel="0" collapsed="false">
      <c r="A24" s="35" t="s">
        <v>55</v>
      </c>
      <c r="B24" s="45" t="str">
        <f aca="false">VLOOKUP($A24,Questions!$A$2:$X$333,2,0)</f>
        <v>Have you undergone a SSAE 18/SOC 2 audit?</v>
      </c>
      <c r="C24" s="46" t="s">
        <v>26</v>
      </c>
      <c r="D24" s="69" t="s">
        <v>53</v>
      </c>
      <c r="E24" s="48" t="str">
        <f aca="false">IF($C24="Yes",VLOOKUP($A24,Questions!$A$2:$X$333,17,0)&amp;"",IF($C24="No",VLOOKUP($A24,Questions!$A$2:$X$333,16,0)&amp;"",VLOOKUP($A24,Questions!$A$2:$X$333,15,0)&amp;""))</f>
        <v>Describe any plans to undergo a SSAE 18 audit.</v>
      </c>
      <c r="F24" s="49" t="str">
        <f aca="false">VLOOKUP($A24,'Institution Evaluation'!$A$56:$F$346,6,0)&amp;""</f>
        <v/>
      </c>
      <c r="I24" s="5"/>
      <c r="J24" s="5"/>
    </row>
    <row r="25" s="1" customFormat="true" ht="48" hidden="false" customHeight="true" outlineLevel="0" collapsed="false">
      <c r="A25" s="35" t="s">
        <v>56</v>
      </c>
      <c r="B25" s="45" t="str">
        <f aca="false">VLOOKUP($A25,Questions!$A$2:$X$333,2,0)</f>
        <v>Do you conform with a specific industry standard security framework (e.g., NIST Cybersecurity Framework, CIS Controls, ISO 27001, etc.)?</v>
      </c>
      <c r="C25" s="46" t="s">
        <v>26</v>
      </c>
      <c r="D25" s="69" t="s">
        <v>53</v>
      </c>
      <c r="E25" s="48" t="str">
        <f aca="false">IF($C25="Yes",VLOOKUP($A25,Questions!$A$2:$X$333,17,0)&amp;"",IF($C25="No",VLOOKUP($A25,Questions!$A$2:$X$333,16,0)&amp;"",VLOOKUP($A25,Questions!$A$2:$X$333,15,0)&amp;""))</f>
        <v>Describe any plans to conform to an industry standard security framework.</v>
      </c>
      <c r="F25" s="49" t="str">
        <f aca="false">VLOOKUP($A25,'Institution Evaluation'!$A$56:$F$346,6,0)&amp;""</f>
        <v/>
      </c>
      <c r="I25" s="5"/>
      <c r="J25" s="5"/>
    </row>
    <row r="26" s="1" customFormat="true" ht="52.5" hidden="false" customHeight="true" outlineLevel="0" collapsed="false">
      <c r="A26" s="35" t="s">
        <v>57</v>
      </c>
      <c r="B26" s="45" t="str">
        <f aca="false">VLOOKUP($A26,Questions!$A$2:$X$333,2,0)</f>
        <v>Can you provide overall system and/or application architecture diagrams, including a full description of the data flow for all components of the system?</v>
      </c>
      <c r="C26" s="46" t="s">
        <v>31</v>
      </c>
      <c r="D26" s="68" t="s">
        <v>58</v>
      </c>
      <c r="E26" s="48" t="str">
        <f aca="false">IF($C26="Yes",VLOOKUP($A26,Questions!$A$2:$X$333,17,0)&amp;"",IF($C26="No",VLOOKUP($A26,Questions!$A$2:$X$333,16,0)&amp;"",VLOOKUP($A26,Questions!$A$2:$X$333,15,0)&amp;""))</f>
        <v>Provide your diagrams (or a valid link to it) upon submission.</v>
      </c>
      <c r="F26" s="49" t="str">
        <f aca="false">VLOOKUP($A26,'Institution Evaluation'!$A$56:$F$346,6,0)&amp;""</f>
        <v/>
      </c>
      <c r="I26" s="5"/>
      <c r="J26" s="5"/>
    </row>
    <row r="27" s="1" customFormat="true" ht="55.5" hidden="false" customHeight="true" outlineLevel="0" collapsed="false">
      <c r="A27" s="35" t="s">
        <v>59</v>
      </c>
      <c r="B27" s="45" t="str">
        <f aca="false">VLOOKUP($A27,Questions!$A$2:$X$333,2,0)</f>
        <v>Does your organization have a data privacy policy?</v>
      </c>
      <c r="C27" s="46" t="s">
        <v>26</v>
      </c>
      <c r="D27" s="68" t="s">
        <v>60</v>
      </c>
      <c r="E27" s="48" t="str">
        <f aca="false">IF($C27="Yes",VLOOKUP($A27,Questions!$A$2:$X$333,17,0)&amp;"",IF($C27="No",VLOOKUP($A27,Questions!$A$2:$X$333,16,0)&amp;"",VLOOKUP($A27,Questions!$A$2:$X$333,15,0)&amp;""))</f>
        <v>Describe your plans to create a data privacy policy.</v>
      </c>
      <c r="F27" s="49" t="str">
        <f aca="false">VLOOKUP($A27,'Institution Evaluation'!$A$56:$F$346,6,0)&amp;""</f>
        <v/>
      </c>
      <c r="I27" s="5"/>
      <c r="J27" s="5"/>
    </row>
    <row r="28" s="1" customFormat="true" ht="38.25" hidden="false" customHeight="true" outlineLevel="0" collapsed="false">
      <c r="A28" s="35" t="s">
        <v>61</v>
      </c>
      <c r="B28" s="45" t="str">
        <f aca="false">VLOOKUP($A28,Questions!$A$2:$X$333,2,0)</f>
        <v>Do you have a documented, and currently implemented, employee onboarding and offboarding policy?</v>
      </c>
      <c r="C28" s="46" t="s">
        <v>31</v>
      </c>
      <c r="D28" s="68" t="s">
        <v>62</v>
      </c>
      <c r="E28" s="48" t="str">
        <f aca="false">IF($C28="Yes",VLOOKUP($A28,Questions!$A$2:$X$333,17,0)&amp;"",IF($C28="No",VLOOKUP($A28,Questions!$A$2:$X$333,16,0)&amp;"",VLOOKUP($A28,Questions!$A$2:$X$333,15,0)&amp;""))</f>
        <v>Provide a reference to your employee onboarding and offboarding policy and supporting documentation or submit it along with this fully populated HECVAT.</v>
      </c>
      <c r="F28" s="49" t="str">
        <f aca="false">VLOOKUP($A28,'Institution Evaluation'!$A$56:$F$346,6,0)&amp;""</f>
        <v/>
      </c>
      <c r="G28" s="51" t="s">
        <v>37</v>
      </c>
      <c r="I28" s="5"/>
      <c r="J28" s="5"/>
    </row>
    <row r="29" s="1" customFormat="true" ht="36.75" hidden="false" customHeight="true" outlineLevel="0" collapsed="false">
      <c r="A29" s="31" t="str">
        <f aca="false">VLOOKUP(LEFT($A30,4),'Auto Responses'!$N$4:$O$38,2,0)&amp;""</f>
        <v> Assessment of Third Parties</v>
      </c>
      <c r="B29" s="42"/>
      <c r="C29" s="19" t="s">
        <v>21</v>
      </c>
      <c r="D29" s="19" t="s">
        <v>22</v>
      </c>
      <c r="E29" s="43" t="s">
        <v>23</v>
      </c>
      <c r="F29" s="52" t="s">
        <v>24</v>
      </c>
      <c r="I29" s="5"/>
      <c r="J29" s="5"/>
    </row>
    <row r="30" s="1" customFormat="true" ht="46.5" hidden="false" customHeight="true" outlineLevel="0" collapsed="false">
      <c r="A30" s="35" t="s">
        <v>63</v>
      </c>
      <c r="B30" s="45" t="str">
        <f aca="false">VLOOKUP($A30,Questions!$A$2:$X$333,2,0)</f>
        <v>Do you perform security assessments of third-party companies with which you share data (e.g., hosting providers, cloud services, PaaS, IaaS, SaaS)?*</v>
      </c>
      <c r="C30" s="46" t="s">
        <v>26</v>
      </c>
      <c r="D30" s="70" t="s">
        <v>64</v>
      </c>
      <c r="E30" s="48" t="str">
        <f aca="false">IF($C30="Yes",VLOOKUP($A30,Questions!$A$2:$X$333,17,0)&amp;"",IF($C30="No",VLOOKUP($A30,Questions!$A$2:$X$333,16,0)&amp;"",VLOOKUP($A30,Questions!$A$2:$X$333,15,0)&amp;""))</f>
        <v>State your plans to perform security assessments of third-party companies.</v>
      </c>
      <c r="F30" s="49" t="str">
        <f aca="false">VLOOKUP($A30,'Institution Evaluation'!$A$56:$F$346,6,0)&amp;""</f>
        <v/>
      </c>
      <c r="I30" s="5"/>
      <c r="J30" s="5"/>
    </row>
    <row r="31" s="1" customFormat="true" ht="61.5" hidden="false" customHeight="true" outlineLevel="0" collapsed="false">
      <c r="A31" s="35" t="s">
        <v>65</v>
      </c>
      <c r="B31" s="45" t="str">
        <f aca="false">VLOOKUP($A31,Questions!$A$2:$X$333,2,0)</f>
        <v>Do you have contractual language in place with third parties governing access to institutional data?*</v>
      </c>
      <c r="C31" s="46" t="s">
        <v>26</v>
      </c>
      <c r="D31" s="70" t="s">
        <v>66</v>
      </c>
      <c r="E31" s="48" t="str">
        <f aca="false">IF($C31="Yes",VLOOKUP($A31,Questions!$A$2:$X$333,17,0)&amp;"",IF($C31="No",VLOOKUP($A31,Questions!$A$2:$X$333,16,0)&amp;"",VLOOKUP($A31,Questions!$A$2:$X$333,15,0)&amp;""))</f>
        <v>List each third party and why institutional data is shared with them. Format example: [Third Party Name] - Reason</v>
      </c>
      <c r="F31" s="49" t="str">
        <f aca="false">VLOOKUP($A31,'Institution Evaluation'!$A$56:$F$346,6,0)&amp;""</f>
        <v/>
      </c>
      <c r="I31" s="5"/>
      <c r="J31" s="5"/>
    </row>
    <row r="32" s="1" customFormat="true" ht="50.25" hidden="false" customHeight="true" outlineLevel="0" collapsed="false">
      <c r="A32" s="35" t="s">
        <v>67</v>
      </c>
      <c r="B32" s="45" t="str">
        <f aca="false">VLOOKUP($A32,Questions!$A$2:$X$333,2,0)</f>
        <v>Do the contracts in place with these third parties address liability in the event of a data breach?*</v>
      </c>
      <c r="C32" s="46" t="s">
        <v>26</v>
      </c>
      <c r="D32" s="70" t="s">
        <v>16</v>
      </c>
      <c r="E32" s="48" t="str">
        <f aca="false">IF($C32="Yes",VLOOKUP($A32,Questions!$A$2:$X$333,17,0)&amp;"",IF($C32="No",VLOOKUP($A32,Questions!$A$2:$X$333,16,0)&amp;"",VLOOKUP($A32,Questions!$A$2:$X$333,15,0)&amp;""))</f>
        <v/>
      </c>
      <c r="F32" s="49" t="str">
        <f aca="false">VLOOKUP($A32,'Institution Evaluation'!$A$56:$F$346,6,0)&amp;""</f>
        <v/>
      </c>
      <c r="I32" s="5"/>
      <c r="J32" s="5"/>
    </row>
    <row r="33" s="1" customFormat="true" ht="62.25" hidden="false" customHeight="true" outlineLevel="0" collapsed="false">
      <c r="A33" s="35" t="s">
        <v>68</v>
      </c>
      <c r="B33" s="45" t="str">
        <f aca="false">VLOOKUP($A33,Questions!$A$2:$X$333,2,0)</f>
        <v>Do you have an implemented third-party management strategy?*</v>
      </c>
      <c r="C33" s="46" t="s">
        <v>26</v>
      </c>
      <c r="D33" s="71" t="s">
        <v>69</v>
      </c>
      <c r="E33" s="48" t="str">
        <f aca="false">IF($C33="Yes",VLOOKUP($A33,Questions!$A$2:$X$333,17,0)&amp;"",IF($C33="No",VLOOKUP($A33,Questions!$A$2:$X$333,16,0)&amp;"",VLOOKUP($A33,Questions!$A$2:$X$333,15,0)&amp;""))</f>
        <v>State your plans to implement a third-party management strategy.</v>
      </c>
      <c r="F33" s="49" t="str">
        <f aca="false">VLOOKUP($A33,'Institution Evaluation'!$A$56:$F$346,6,0)&amp;""</f>
        <v/>
      </c>
      <c r="I33" s="5"/>
      <c r="J33" s="5"/>
    </row>
    <row r="34" s="1" customFormat="true" ht="53.25" hidden="false" customHeight="true" outlineLevel="0" collapsed="false">
      <c r="A34" s="35" t="s">
        <v>70</v>
      </c>
      <c r="B34" s="45" t="str">
        <f aca="false">VLOOKUP($A34,Questions!$A$2:$X$333,2,0)</f>
        <v>Do you have a process and implemented procedures for managing your hardware supply chain (e.g., telecommunications equipment, export licensing, computing devices)?</v>
      </c>
      <c r="C34" s="46" t="s">
        <v>26</v>
      </c>
      <c r="D34" s="71" t="s">
        <v>69</v>
      </c>
      <c r="E34" s="48" t="str">
        <f aca="false">IF($C34="Yes",VLOOKUP($A34,Questions!$A$2:$X$333,17,0)&amp;"",IF($C34="No",VLOOKUP($A34,Questions!$A$2:$X$333,16,0)&amp;"",VLOOKUP($A34,Questions!$A$2:$X$333,15,0)&amp;""))</f>
        <v>State your plans to create a process and implemented procedures for managing your hardware supply chain.</v>
      </c>
      <c r="F34" s="49" t="str">
        <f aca="false">VLOOKUP($A34,'Institution Evaluation'!$A$56:$F$346,6,0)&amp;""</f>
        <v/>
      </c>
      <c r="G34" s="51" t="s">
        <v>37</v>
      </c>
      <c r="I34" s="5"/>
      <c r="J34" s="5"/>
    </row>
    <row r="35" s="1" customFormat="true" ht="36.75" hidden="false" customHeight="true" outlineLevel="0" collapsed="false">
      <c r="A35" s="31" t="str">
        <f aca="false">VLOOKUP(LEFT($A36,4),'Auto Responses'!$N$4:$O$38,2,0)&amp;""</f>
        <v> Change Management</v>
      </c>
      <c r="B35" s="42"/>
      <c r="C35" s="19" t="s">
        <v>21</v>
      </c>
      <c r="D35" s="19" t="s">
        <v>22</v>
      </c>
      <c r="E35" s="43" t="s">
        <v>23</v>
      </c>
      <c r="F35" s="52" t="s">
        <v>24</v>
      </c>
      <c r="I35" s="5"/>
      <c r="J35" s="5"/>
    </row>
    <row r="36" s="1" customFormat="true" ht="38.25" hidden="false" customHeight="true" outlineLevel="0" collapsed="false">
      <c r="A36" s="35" t="s">
        <v>71</v>
      </c>
      <c r="B36" s="45" t="str">
        <f aca="false">VLOOKUP($A36,Questions!$A$2:$X$333,2,0)</f>
        <v>Will the institution be notified of major changes to your environment that could impact the institution's security posture?*</v>
      </c>
      <c r="C36" s="46" t="s">
        <v>26</v>
      </c>
      <c r="D36" s="70" t="s">
        <v>16</v>
      </c>
      <c r="E36" s="48" t="str">
        <f aca="false">IF($C36="Yes",VLOOKUP($A36,Questions!$A$2:$X$333,17,0)&amp;"",IF($C36="No",VLOOKUP($A36,Questions!$A$2:$X$333,16,0)&amp;"",VLOOKUP($A36,Questions!$A$2:$X$333,15,0)&amp;""))</f>
        <v>Describe plans to establish a notification mechanism for major environmental changes.</v>
      </c>
      <c r="F36" s="49" t="str">
        <f aca="false">VLOOKUP($A36,'Institution Evaluation'!$A$56:$F$346,6,0)&amp;""</f>
        <v/>
      </c>
      <c r="I36" s="5"/>
      <c r="J36" s="5"/>
    </row>
    <row r="37" s="1" customFormat="true" ht="54" hidden="false" customHeight="true" outlineLevel="0" collapsed="false">
      <c r="A37" s="35" t="s">
        <v>72</v>
      </c>
      <c r="B37" s="45" t="str">
        <f aca="false">VLOOKUP($A37,Questions!$A$2:$X$333,2,0)</f>
        <v>Does the system support client customizations from one release to another?*</v>
      </c>
      <c r="C37" s="46" t="s">
        <v>73</v>
      </c>
      <c r="D37" s="70" t="s">
        <v>74</v>
      </c>
      <c r="E37" s="48" t="str">
        <f aca="false">IF($C37="Yes",VLOOKUP($A37,Questions!$A$2:$X$333,17,0)&amp;"",IF($C37="No",VLOOKUP($A37,Questions!$A$2:$X$333,16,0)&amp;"",IF($C37="N/A",VLOOKUP($A37,Questions!$A$2:$X$333,18,0)&amp;"",VLOOKUP($A37,Questions!$A$2:$X$333,15,0)&amp;"")))</f>
        <v>Describe or provide reference to your solution support strategy in regard to maintaining client customizations from one release to another.</v>
      </c>
      <c r="F37" s="49" t="str">
        <f aca="false">VLOOKUP($A37,'Institution Evaluation'!$A$56:$F$346,6,0)&amp;""</f>
        <v/>
      </c>
      <c r="I37" s="5"/>
      <c r="J37" s="5"/>
    </row>
    <row r="38" s="1" customFormat="true" ht="65.25" hidden="false" customHeight="true" outlineLevel="0" collapsed="false">
      <c r="A38" s="35" t="s">
        <v>75</v>
      </c>
      <c r="B38" s="45" t="str">
        <f aca="false">VLOOKUP($A38,Questions!$A$2:$X$333,2,0)</f>
        <v>Do you have an implemented system configuration management process (e.g.,secure "gold" images, etc.)?*</v>
      </c>
      <c r="C38" s="46" t="s">
        <v>26</v>
      </c>
      <c r="D38" s="70" t="s">
        <v>16</v>
      </c>
      <c r="E38" s="48" t="str">
        <f aca="false">IF($C38="Yes",VLOOKUP($A38,Questions!$A$2:$X$333,17,0)&amp;"",IF($C38="No",VLOOKUP($A38,Questions!$A$2:$X$333,16,0)&amp;"",IF($C38="N/A",VLOOKUP($A38,Questions!$A$2:$X$333,18,0)&amp;"",VLOOKUP($A38,Questions!$A$2:$X$333,15,0)&amp;"")))</f>
        <v>Describe how system configuration management is currently handled in your environment.</v>
      </c>
      <c r="F38" s="49" t="str">
        <f aca="false">VLOOKUP($A38,'Institution Evaluation'!$A$56:$F$346,6,0)&amp;""</f>
        <v/>
      </c>
      <c r="I38" s="5"/>
      <c r="J38" s="5"/>
    </row>
    <row r="39" s="1" customFormat="true" ht="38.25" hidden="false" customHeight="true" outlineLevel="0" collapsed="false">
      <c r="A39" s="35" t="s">
        <v>76</v>
      </c>
      <c r="B39" s="45" t="str">
        <f aca="false">VLOOKUP($A39,Questions!$A$2:$X$333,2,0)</f>
        <v>Do you have a documented change management process?</v>
      </c>
      <c r="C39" s="46" t="s">
        <v>26</v>
      </c>
      <c r="D39" s="70" t="s">
        <v>16</v>
      </c>
      <c r="E39" s="48" t="str">
        <f aca="false">IF($C39="Yes",VLOOKUP($A39,Questions!$A$2:$X$333,17,0)&amp;"",IF($C39="No",VLOOKUP($A39,Questions!$A$2:$X$333,16,0)&amp;"",VLOOKUP($A39,Questions!$A$2:$X$333,15,0)&amp;""))</f>
        <v>Briefly summarize your response.</v>
      </c>
      <c r="F39" s="49" t="str">
        <f aca="false">VLOOKUP($A39,'Institution Evaluation'!$A$56:$F$346,6,0)&amp;""</f>
        <v/>
      </c>
      <c r="I39" s="5"/>
      <c r="J39" s="5"/>
    </row>
    <row r="40" s="1" customFormat="true" ht="53.25" hidden="false" customHeight="true" outlineLevel="0" collapsed="false">
      <c r="A40" s="35" t="s">
        <v>77</v>
      </c>
      <c r="B40" s="45" t="str">
        <f aca="false">VLOOKUP($A40,Questions!$A$2:$X$333,2,0)</f>
        <v>Does your change management process minimally include authorization, impact analysis, testing, and validation before moving changes to production?</v>
      </c>
      <c r="C40" s="46" t="s">
        <v>26</v>
      </c>
      <c r="D40" s="70" t="s">
        <v>16</v>
      </c>
      <c r="E40" s="48" t="str">
        <f aca="false">IF($C40="Yes",VLOOKUP($A40,Questions!$A$2:$X$333,17,0)&amp;"",IF($C40="No",VLOOKUP($A40,Questions!$A$2:$X$333,16,0)&amp;"",VLOOKUP($A40,Questions!$A$2:$X$333,15,0)&amp;""))</f>
        <v>State your plans to implement change management in your environment or clarify what your change management processes do include.</v>
      </c>
      <c r="F40" s="49" t="str">
        <f aca="false">VLOOKUP($A40,'Institution Evaluation'!$A$56:$F$346,6,0)&amp;""</f>
        <v/>
      </c>
      <c r="I40" s="5"/>
      <c r="J40" s="5"/>
    </row>
    <row r="41" s="1" customFormat="true" ht="54.75" hidden="false" customHeight="true" outlineLevel="0" collapsed="false">
      <c r="A41" s="35" t="s">
        <v>78</v>
      </c>
      <c r="B41" s="45" t="str">
        <f aca="false">VLOOKUP($A41,Questions!$A$2:$X$333,2,0)</f>
        <v>Does your change management process verify that all required third-party libraries and dependencies are still supported with each major change?</v>
      </c>
      <c r="C41" s="46" t="s">
        <v>31</v>
      </c>
      <c r="D41" s="70"/>
      <c r="E41" s="48" t="str">
        <f aca="false">IF($C41="Yes",VLOOKUP($A41,Questions!$A$2:$X$333,17,0)&amp;"",IF($C41="No",VLOOKUP($A41,Questions!$A$2:$X$333,16,0)&amp;"",VLOOKUP($A41,Questions!$A$2:$X$333,15,0)&amp;""))</f>
        <v>Please describe your program to track these dependancies.</v>
      </c>
      <c r="F41" s="49" t="str">
        <f aca="false">VLOOKUP($A41,'Institution Evaluation'!$A$56:$F$346,6,0)&amp;""</f>
        <v/>
      </c>
      <c r="I41" s="5"/>
      <c r="J41" s="5"/>
    </row>
    <row r="42" s="1" customFormat="true" ht="53.25" hidden="false" customHeight="true" outlineLevel="0" collapsed="false">
      <c r="A42" s="35" t="s">
        <v>79</v>
      </c>
      <c r="B42" s="45" t="str">
        <f aca="false">VLOOKUP($A42,Questions!$A$2:$X$333,2,0)</f>
        <v>Do you have policy and procedure, currently implemented, managing how critical patches are applied to all systems and applications?</v>
      </c>
      <c r="C42" s="46" t="s">
        <v>26</v>
      </c>
      <c r="D42" s="70" t="s">
        <v>80</v>
      </c>
      <c r="E42" s="48" t="str">
        <f aca="false">IF($C42="Yes",VLOOKUP($A42,Questions!$A$2:$X$333,17,0)&amp;"",IF($C42="No",VLOOKUP($A42,Questions!$A$2:$X$333,16,0)&amp;"",VLOOKUP($A42,Questions!$A$2:$X$333,15,0)&amp;""))</f>
        <v>State your plans to implement policy and procedure(s) to manage how critical patches are applied to systems and applications.</v>
      </c>
      <c r="F42" s="49" t="str">
        <f aca="false">VLOOKUP($A42,'Institution Evaluation'!$A$56:$F$346,6,0)&amp;""</f>
        <v/>
      </c>
      <c r="I42" s="5"/>
      <c r="J42" s="5"/>
    </row>
    <row r="43" s="1" customFormat="true" ht="38.25" hidden="false" customHeight="true" outlineLevel="0" collapsed="false">
      <c r="A43" s="35" t="s">
        <v>81</v>
      </c>
      <c r="B43" s="45" t="str">
        <f aca="false">VLOOKUP($A43,Questions!$A$2:$X$333,2,0)</f>
        <v>Have you implemented policies and procedures that guide how security risks are mitigated until patches can be applied?</v>
      </c>
      <c r="C43" s="46" t="s">
        <v>26</v>
      </c>
      <c r="D43" s="70"/>
      <c r="E43" s="48" t="str">
        <f aca="false">IF($C43="Yes",VLOOKUP($A43,Questions!$A$2:$X$333,17,0)&amp;"",IF($C43="No",VLOOKUP($A43,Questions!$A$2:$X$333,16,0)&amp;"",VLOOKUP($A43,Questions!$A$2:$X$333,15,0)&amp;""))</f>
        <v>State your plans to implement policy and procedure(s) guiding risk mitigation practices before critical patches can be applied.</v>
      </c>
      <c r="F43" s="49" t="str">
        <f aca="false">VLOOKUP($A43,'Institution Evaluation'!$A$56:$F$346,6,0)&amp;""</f>
        <v/>
      </c>
      <c r="I43" s="5"/>
      <c r="J43" s="5"/>
    </row>
    <row r="44" s="1" customFormat="true" ht="52.5" hidden="false" customHeight="true" outlineLevel="0" collapsed="false">
      <c r="A44" s="35" t="s">
        <v>82</v>
      </c>
      <c r="B44" s="45" t="str">
        <f aca="false">VLOOKUP($A44,Questions!$A$2:$X$333,2,0)</f>
        <v>Do clients have the option to not participate in or postpone an upgrade to a new release?</v>
      </c>
      <c r="C44" s="46" t="s">
        <v>31</v>
      </c>
      <c r="D44" s="70"/>
      <c r="E44" s="48" t="str">
        <f aca="false">IF($C44="Yes",VLOOKUP($A44,Questions!$A$2:$X$333,17,0)&amp;"",IF($C44="No",VLOOKUP($A44,Questions!$A$2:$X$333,16,0)&amp;"",VLOOKUP($A44,Questions!$A$2:$X$333,15,0)&amp;""))</f>
        <v>Provide reference the the process/procedure to manage releases.</v>
      </c>
      <c r="F44" s="49" t="str">
        <f aca="false">VLOOKUP($A44,'Institution Evaluation'!$A$56:$F$346,6,0)&amp;""</f>
        <v/>
      </c>
      <c r="I44" s="5"/>
      <c r="J44" s="5"/>
    </row>
    <row r="45" s="1" customFormat="true" ht="64.5" hidden="false" customHeight="true" outlineLevel="0" collapsed="false">
      <c r="A45" s="35" t="s">
        <v>83</v>
      </c>
      <c r="B45" s="45" t="str">
        <f aca="false">VLOOKUP($A45,Questions!$A$2:$X$333,2,0)</f>
        <v>Do you have a fully implemented solution support strategy that defines how many concurrent versions you support?</v>
      </c>
      <c r="C45" s="46" t="s">
        <v>31</v>
      </c>
      <c r="D45" s="70" t="s">
        <v>84</v>
      </c>
      <c r="E45" s="48" t="str">
        <f aca="false">IF($C45="Yes",VLOOKUP($A45,Questions!$A$2:$X$333,17,0)&amp;"",IF($C45="No",VLOOKUP($A45,Questions!$A$2:$X$333,16,0)&amp;"",VLOOKUP($A45,Questions!$A$2:$X$333,15,0)&amp;""))</f>
        <v>Describe or provide a reference to your solution support strategy in regard to maintaining software currency (i.e., how many concurrent versions are you willing to run and support?).</v>
      </c>
      <c r="F45" s="49" t="str">
        <f aca="false">VLOOKUP($A45,'Institution Evaluation'!$A$56:$F$346,6,0)&amp;""</f>
        <v/>
      </c>
      <c r="I45" s="5"/>
      <c r="J45" s="5"/>
    </row>
    <row r="46" s="1" customFormat="true" ht="38.25" hidden="false" customHeight="true" outlineLevel="0" collapsed="false">
      <c r="A46" s="35" t="s">
        <v>85</v>
      </c>
      <c r="B46" s="45" t="str">
        <f aca="false">VLOOKUP($A46,Questions!$A$2:$X$333,2,0)</f>
        <v>Do you have a release schedule for product updates?</v>
      </c>
      <c r="C46" s="46" t="s">
        <v>31</v>
      </c>
      <c r="D46" s="70" t="s">
        <v>86</v>
      </c>
      <c r="E46" s="48" t="str">
        <f aca="false">IF($C46="Yes",VLOOKUP($A46,Questions!$A$2:$X$333,17,0)&amp;"",IF($C46="No",VLOOKUP($A46,Questions!$A$2:$X$333,16,0)&amp;"",VLOOKUP($A46,Questions!$A$2:$X$333,15,0)&amp;""))</f>
        <v>Provide a reference to this solution's release schedule.</v>
      </c>
      <c r="F46" s="49" t="str">
        <f aca="false">VLOOKUP($A46,'Institution Evaluation'!$A$56:$F$346,6,0)&amp;""</f>
        <v/>
      </c>
      <c r="I46" s="5"/>
      <c r="J46" s="5"/>
    </row>
    <row r="47" s="1" customFormat="true" ht="54" hidden="false" customHeight="true" outlineLevel="0" collapsed="false">
      <c r="A47" s="35" t="s">
        <v>87</v>
      </c>
      <c r="B47" s="45" t="str">
        <f aca="false">VLOOKUP($A47,Questions!$A$2:$X$333,2,0)</f>
        <v>Do you have a technology roadmap, for at least the next two years, for enhancements and bug fixes for the solution being assessed?</v>
      </c>
      <c r="C47" s="46" t="s">
        <v>31</v>
      </c>
      <c r="D47" s="70" t="s">
        <v>88</v>
      </c>
      <c r="E47" s="48" t="str">
        <f aca="false">IF($C47="Yes",VLOOKUP($A47,Questions!$A$2:$X$333,17,0)&amp;"",IF($C47="No",VLOOKUP($A47,Questions!$A$2:$X$333,16,0)&amp;"",VLOOKUP($A47,Questions!$A$2:$X$333,15,0)&amp;""))</f>
        <v>Provide a reference to your technology roadmap.</v>
      </c>
      <c r="F47" s="49" t="str">
        <f aca="false">VLOOKUP($A47,'Institution Evaluation'!$A$56:$F$346,6,0)&amp;""</f>
        <v/>
      </c>
      <c r="I47" s="5"/>
      <c r="J47" s="5"/>
    </row>
    <row r="48" s="1" customFormat="true" ht="38.25" hidden="false" customHeight="true" outlineLevel="0" collapsed="false">
      <c r="A48" s="35" t="s">
        <v>89</v>
      </c>
      <c r="B48" s="45" t="str">
        <f aca="false">VLOOKUP($A48,Questions!$A$2:$X$333,2,0)</f>
        <v>Can solution updates be completed without institutional involvement (i.e., technically or organizationally)?</v>
      </c>
      <c r="C48" s="46" t="s">
        <v>31</v>
      </c>
      <c r="D48" s="70"/>
      <c r="E48" s="48" t="str">
        <f aca="false">IF($C48="Yes",VLOOKUP($A48,Questions!$A$2:$X$333,17,0)&amp;"",IF($C48="No",VLOOKUP($A48,Questions!$A$2:$X$333,16,0)&amp;"",VLOOKUP($A48,Questions!$A$2:$X$333,15,0)&amp;""))</f>
        <v/>
      </c>
      <c r="F48" s="49" t="str">
        <f aca="false">VLOOKUP($A48,'Institution Evaluation'!$A$56:$F$346,6,0)&amp;""</f>
        <v/>
      </c>
      <c r="I48" s="5"/>
      <c r="J48" s="5"/>
    </row>
    <row r="49" s="1" customFormat="true" ht="38.25" hidden="false" customHeight="true" outlineLevel="0" collapsed="false">
      <c r="A49" s="35" t="s">
        <v>90</v>
      </c>
      <c r="B49" s="45" t="str">
        <f aca="false">VLOOKUP($A49,Questions!$A$2:$X$333,2,0)</f>
        <v>Are upgrades or system changes installed during off-peak hours or in a manner that does not impact the customer?</v>
      </c>
      <c r="C49" s="46" t="s">
        <v>26</v>
      </c>
      <c r="D49" s="70" t="s">
        <v>16</v>
      </c>
      <c r="E49" s="48" t="str">
        <f aca="false">IF($C49="Yes",VLOOKUP($A49,Questions!$A$2:$X$333,17,0)&amp;"",IF($C49="No",VLOOKUP($A49,Questions!$A$2:$X$333,16,0)&amp;"",VLOOKUP($A49,Questions!$A$2:$X$333,15,0)&amp;""))</f>
        <v>Decribe plans to minimize the impact of downtime based on predefined off-peak hours.</v>
      </c>
      <c r="F49" s="49" t="str">
        <f aca="false">VLOOKUP($A49,'Institution Evaluation'!$A$56:$F$346,6,0)&amp;""</f>
        <v/>
      </c>
      <c r="I49" s="5"/>
      <c r="J49" s="5"/>
    </row>
    <row r="50" s="1" customFormat="true" ht="38.25" hidden="false" customHeight="true" outlineLevel="0" collapsed="false">
      <c r="A50" s="35" t="s">
        <v>91</v>
      </c>
      <c r="B50" s="45" t="str">
        <f aca="false">VLOOKUP($A50,Questions!$A$2:$X$333,2,0)</f>
        <v>Do procedures exist to provide that emergency changes are documented and authorized (including after-the-fact approval)?</v>
      </c>
      <c r="C50" s="46" t="s">
        <v>26</v>
      </c>
      <c r="D50" s="70" t="s">
        <v>16</v>
      </c>
      <c r="E50" s="48" t="str">
        <f aca="false">IF($C50="Yes",VLOOKUP($A50,Questions!$A$2:$X$333,17,0)&amp;"",IF($C50="No",VLOOKUP($A50,Questions!$A$2:$X$333,16,0)&amp;"",VLOOKUP($A50,Questions!$A$2:$X$333,15,0)&amp;""))</f>
        <v>Describe plans to implement procedure ensuring that emergency changes are documented and authorized.</v>
      </c>
      <c r="F50" s="49" t="str">
        <f aca="false">VLOOKUP($A50,'Institution Evaluation'!$A$56:$F$346,6,0)&amp;""</f>
        <v/>
      </c>
      <c r="I50" s="5"/>
      <c r="J50" s="5"/>
    </row>
    <row r="51" s="1" customFormat="true" ht="48" hidden="false" customHeight="true" outlineLevel="0" collapsed="false">
      <c r="A51" s="35" t="s">
        <v>92</v>
      </c>
      <c r="B51" s="45" t="str">
        <f aca="false">VLOOKUP($A51,Questions!$A$2:$X$333,2,0)</f>
        <v>Do you have a systems management and configuration strategy that encompasses servers, appliances, cloud services, applications, and mobile devices (company and employee owned)?</v>
      </c>
      <c r="C51" s="46" t="s">
        <v>26</v>
      </c>
      <c r="D51" s="70" t="s">
        <v>16</v>
      </c>
      <c r="E51" s="48" t="str">
        <f aca="false">IF($C51="Yes",VLOOKUP($A51,Questions!$A$2:$X$333,17,0)&amp;"",IF($C51="No",VLOOKUP($A51,Questions!$A$2:$X$333,16,0)&amp;"",VLOOKUP($A51,Questions!$A$2:$X$333,15,0)&amp;""))</f>
        <v>Describe your intent to implement a systems management and configuration strategy.</v>
      </c>
      <c r="F51" s="49" t="str">
        <f aca="false">VLOOKUP($A51,'Institution Evaluation'!$A$56:$F$346,6,0)&amp;""</f>
        <v/>
      </c>
      <c r="G51" s="51" t="s">
        <v>37</v>
      </c>
      <c r="I51" s="5"/>
      <c r="J51" s="5"/>
    </row>
    <row r="52" s="1" customFormat="true" ht="36.75" hidden="false" customHeight="true" outlineLevel="0" collapsed="false">
      <c r="A52" s="31" t="str">
        <f aca="false">VLOOKUP(LEFT($A53,4),'Auto Responses'!$N$4:$O$38,2,0)&amp;""</f>
        <v> Policies, Processes, and Procedures</v>
      </c>
      <c r="B52" s="42"/>
      <c r="C52" s="19" t="s">
        <v>21</v>
      </c>
      <c r="D52" s="19" t="s">
        <v>22</v>
      </c>
      <c r="E52" s="43" t="s">
        <v>23</v>
      </c>
      <c r="F52" s="52" t="s">
        <v>24</v>
      </c>
      <c r="I52" s="5"/>
      <c r="J52" s="5"/>
    </row>
    <row r="53" s="1" customFormat="true" ht="38.25" hidden="false" customHeight="true" outlineLevel="0" collapsed="false">
      <c r="A53" s="35" t="s">
        <v>93</v>
      </c>
      <c r="B53" s="45" t="str">
        <f aca="false">VLOOKUP($A53,Questions!$A$2:$X$333,2,0)</f>
        <v>Do you have a documented patch management process?*</v>
      </c>
      <c r="C53" s="46" t="s">
        <v>31</v>
      </c>
      <c r="D53" s="70"/>
      <c r="E53" s="48" t="str">
        <f aca="false">IF($C53="Yes",VLOOKUP($A53,Questions!$A$2:$X$333,17,0)&amp;"",IF($C53="No",VLOOKUP($A53,Questions!$A$2:$X$333,16,0)&amp;"",VLOOKUP($A53,Questions!$A$2:$X$333,15,0)&amp;""))</f>
        <v/>
      </c>
      <c r="F53" s="49" t="str">
        <f aca="false">VLOOKUP($A53,'Institution Evaluation'!$A$56:$F$346,6,0)&amp;""</f>
        <v/>
      </c>
      <c r="I53" s="5"/>
      <c r="J53" s="5"/>
    </row>
    <row r="54" s="1" customFormat="true" ht="56.25" hidden="false" customHeight="true" outlineLevel="0" collapsed="false">
      <c r="A54" s="35" t="s">
        <v>94</v>
      </c>
      <c r="B54" s="45" t="str">
        <f aca="false">VLOOKUP($A54,Questions!$A$2:$X$333,2,0)</f>
        <v>Can your organization comply with institutional policies on privacy and data protection with regard to users of institutional systems, if required?*</v>
      </c>
      <c r="C54" s="46" t="s">
        <v>31</v>
      </c>
      <c r="D54" s="70" t="s">
        <v>95</v>
      </c>
      <c r="E54" s="48" t="str">
        <f aca="false">IF($C54="Yes",VLOOKUP($A54,Questions!$A$2:$X$333,17,0)&amp;"",IF($C54="No",VLOOKUP($A54,Questions!$A$2:$X$333,16,0)&amp;"",VLOOKUP($A54,Questions!$A$2:$X$333,15,0)&amp;""))</f>
        <v>State that you have reviewed the institution's IT policies with regards to user privacy and data protection.</v>
      </c>
      <c r="F54" s="49" t="str">
        <f aca="false">VLOOKUP($A54,'Institution Evaluation'!$A$56:$F$346,6,0)&amp;""</f>
        <v/>
      </c>
      <c r="I54" s="5"/>
      <c r="J54" s="5"/>
    </row>
    <row r="55" s="1" customFormat="true" ht="38.25" hidden="false" customHeight="true" outlineLevel="0" collapsed="false">
      <c r="A55" s="35" t="s">
        <v>96</v>
      </c>
      <c r="B55" s="45" t="str">
        <f aca="false">VLOOKUP($A55,Questions!$A$2:$X$333,2,0)</f>
        <v>Is your company subject to the institution's geographic region's laws and regulations?*</v>
      </c>
      <c r="C55" s="46" t="s">
        <v>31</v>
      </c>
      <c r="D55" s="70" t="s">
        <v>97</v>
      </c>
      <c r="E55" s="48" t="str">
        <f aca="false">IF($C55="Yes",VLOOKUP($A55,Questions!$A$2:$X$333,17,0)&amp;"",IF($C55="No",VLOOKUP($A55,Questions!$A$2:$X$333,16,0)&amp;"",VLOOKUP($A55,Questions!$A$2:$X$333,15,0)&amp;""))</f>
        <v>State the country that governs and regulates your company.</v>
      </c>
      <c r="F55" s="49" t="str">
        <f aca="false">VLOOKUP($A55,'Institution Evaluation'!$A$56:$F$346,6,0)&amp;""</f>
        <v/>
      </c>
      <c r="I55" s="5"/>
      <c r="J55" s="5"/>
    </row>
    <row r="56" s="1" customFormat="true" ht="38.25" hidden="false" customHeight="true" outlineLevel="0" collapsed="false">
      <c r="A56" s="35" t="s">
        <v>98</v>
      </c>
      <c r="B56" s="45" t="str">
        <f aca="false">VLOOKUP($A56,Questions!$A$2:$X$333,2,0)</f>
        <v>Can you accommodate encryption requirements using open standards?</v>
      </c>
      <c r="C56" s="46" t="s">
        <v>31</v>
      </c>
      <c r="D56" s="70"/>
      <c r="E56" s="48" t="str">
        <f aca="false">IF($C56="Yes",VLOOKUP($A56,Questions!$A$2:$X$333,17,0)&amp;"",IF($C56="No",VLOOKUP($A56,Questions!$A$2:$X$333,16,0)&amp;"",VLOOKUP($A56,Questions!$A$2:$X$333,15,0)&amp;""))</f>
        <v/>
      </c>
      <c r="F56" s="49" t="str">
        <f aca="false">VLOOKUP($A56,'Institution Evaluation'!$A$56:$F$346,6,0)&amp;""</f>
        <v/>
      </c>
      <c r="I56" s="5"/>
      <c r="J56" s="5"/>
    </row>
    <row r="57" s="1" customFormat="true" ht="36" hidden="false" customHeight="true" outlineLevel="0" collapsed="false">
      <c r="A57" s="35" t="s">
        <v>99</v>
      </c>
      <c r="B57" s="45" t="str">
        <f aca="false">VLOOKUP($A57,Questions!$A$2:$X$333,2,0)</f>
        <v>Do you have a documented systems development life cycle (SDLC)?</v>
      </c>
      <c r="C57" s="46" t="s">
        <v>26</v>
      </c>
      <c r="D57" s="70" t="s">
        <v>100</v>
      </c>
      <c r="E57" s="48" t="str">
        <f aca="false">IF($C57="Yes",VLOOKUP($A57,Questions!$A$2:$X$333,17,0)&amp;"",IF($C57="No",VLOOKUP($A57,Questions!$A$2:$X$333,16,0)&amp;"",VLOOKUP($A57,Questions!$A$2:$X$333,15,0)&amp;""))</f>
        <v>State any plans to implement an SDLC.</v>
      </c>
      <c r="F57" s="49" t="str">
        <f aca="false">VLOOKUP($A57,'Institution Evaluation'!$A$56:$F$346,6,0)&amp;""</f>
        <v/>
      </c>
      <c r="I57" s="5"/>
      <c r="J57" s="5"/>
    </row>
    <row r="58" s="1" customFormat="true" ht="46.25" hidden="false" customHeight="false" outlineLevel="0" collapsed="false">
      <c r="A58" s="35" t="s">
        <v>101</v>
      </c>
      <c r="B58" s="45" t="str">
        <f aca="false">VLOOKUP($A58,Questions!$A$2:$X$333,2,0)</f>
        <v>Do you perform background screenings or multi-state background checks on all employees prior to their first day of work?</v>
      </c>
      <c r="C58" s="46" t="s">
        <v>26</v>
      </c>
      <c r="D58" s="70"/>
      <c r="E58" s="48" t="str">
        <f aca="false">IF($C58="Yes",VLOOKUP($A58,Questions!$A$2:$X$333,17,0)&amp;"",IF($C58="No",VLOOKUP($A58,Questions!$A$2:$X$333,16,0)&amp;"",VLOOKUP($A58,Questions!$A$2:$X$333,15,0)&amp;""))</f>
        <v>State plans to implement background check elements into your hiring process.</v>
      </c>
      <c r="F58" s="49" t="str">
        <f aca="false">VLOOKUP($A58,'Institution Evaluation'!$A$56:$F$346,6,0)&amp;""</f>
        <v/>
      </c>
      <c r="I58" s="5"/>
      <c r="J58" s="5"/>
    </row>
    <row r="59" s="1" customFormat="true" ht="47.25" hidden="false" customHeight="true" outlineLevel="0" collapsed="false">
      <c r="A59" s="35" t="s">
        <v>102</v>
      </c>
      <c r="B59" s="45" t="str">
        <f aca="false">VLOOKUP($A59,Questions!$A$2:$X$333,2,0)</f>
        <v>Do you require new employees to fill out agreements and review policies?</v>
      </c>
      <c r="C59" s="46" t="s">
        <v>31</v>
      </c>
      <c r="D59" s="70" t="s">
        <v>103</v>
      </c>
      <c r="E59" s="48" t="str">
        <f aca="false">IF($C59="Yes",VLOOKUP($A59,Questions!$A$2:$X$333,17,0)&amp;"",IF($C59="No",VLOOKUP($A59,Questions!$A$2:$X$333,16,0)&amp;"",VLOOKUP($A59,Questions!$A$2:$X$333,15,0)&amp;""))</f>
        <v>Summarize the required agreements and reviewed policies.</v>
      </c>
      <c r="F59" s="49" t="str">
        <f aca="false">VLOOKUP($A59,'Institution Evaluation'!$A$56:$F$346,6,0)&amp;""</f>
        <v/>
      </c>
      <c r="I59" s="5"/>
      <c r="J59" s="5"/>
    </row>
    <row r="60" s="1" customFormat="true" ht="46.5" hidden="false" customHeight="true" outlineLevel="0" collapsed="false">
      <c r="A60" s="35" t="s">
        <v>104</v>
      </c>
      <c r="B60" s="45" t="str">
        <f aca="false">VLOOKUP($A60,Questions!$A$2:$X$333,2,0)</f>
        <v>Do you have a documented information security policy?</v>
      </c>
      <c r="C60" s="46" t="s">
        <v>31</v>
      </c>
      <c r="D60" s="70" t="s">
        <v>105</v>
      </c>
      <c r="E60" s="48" t="str">
        <f aca="false">IF($C60="Yes",VLOOKUP($A60,Questions!$A$2:$X$333,17,0)&amp;"",IF($C60="No",VLOOKUP($A60,Questions!$A$2:$X$333,16,0)&amp;"",VLOOKUP($A60,Questions!$A$2:$X$333,15,0)&amp;""))</f>
        <v>Provide a reference to your information security policy or submit documentation with this fully populated HECVAT.</v>
      </c>
      <c r="F60" s="49" t="str">
        <f aca="false">VLOOKUP($A60,'Institution Evaluation'!$A$56:$F$346,6,0)&amp;""</f>
        <v/>
      </c>
      <c r="I60" s="5"/>
      <c r="J60" s="5"/>
    </row>
    <row r="61" s="1" customFormat="true" ht="48" hidden="false" customHeight="true" outlineLevel="0" collapsed="false">
      <c r="A61" s="35" t="s">
        <v>106</v>
      </c>
      <c r="B61" s="45" t="str">
        <f aca="false">VLOOKUP($A61,Questions!$A$2:$X$333,2,0)</f>
        <v>Are information security principles designed into the product lifecycle?</v>
      </c>
      <c r="C61" s="46" t="s">
        <v>31</v>
      </c>
      <c r="D61" s="70" t="s">
        <v>107</v>
      </c>
      <c r="E61" s="48" t="str">
        <f aca="false">IF($C61="Yes",VLOOKUP($A61,Questions!$A$2:$X$333,17,0)&amp;"",IF($C61="No",VLOOKUP($A61,Questions!$A$2:$X$333,16,0)&amp;"",VLOOKUP($A61,Questions!$A$2:$X$333,15,0)&amp;""))</f>
        <v>Summarize the information security principles designed into the product lifecycle.</v>
      </c>
      <c r="F61" s="49" t="str">
        <f aca="false">VLOOKUP($A61,'Institution Evaluation'!$A$56:$F$346,6,0)&amp;""</f>
        <v/>
      </c>
      <c r="I61" s="5"/>
      <c r="J61" s="5"/>
    </row>
    <row r="62" s="1" customFormat="true" ht="28.5" hidden="false" customHeight="true" outlineLevel="0" collapsed="false">
      <c r="A62" s="35" t="s">
        <v>108</v>
      </c>
      <c r="B62" s="45" t="str">
        <f aca="false">VLOOKUP($A62,Questions!$A$2:$X$333,2,0)</f>
        <v>Will you comply with applicable breach notification laws?</v>
      </c>
      <c r="C62" s="46" t="s">
        <v>26</v>
      </c>
      <c r="D62" s="70" t="s">
        <v>69</v>
      </c>
      <c r="E62" s="48" t="str">
        <f aca="false">IF($C62="Yes",VLOOKUP($A62,Questions!$A$2:$X$333,17,0)&amp;"",IF($C62="No",VLOOKUP($A62,Questions!$A$2:$X$333,16,0)&amp;"",VLOOKUP($A62,Questions!$A$2:$X$333,15,0)&amp;""))</f>
        <v>Summarize why you will not comple with applicable breach notification laws.</v>
      </c>
      <c r="F62" s="49" t="str">
        <f aca="false">VLOOKUP($A62,'Institution Evaluation'!$A$56:$F$346,6,0)&amp;""</f>
        <v/>
      </c>
      <c r="I62" s="5"/>
      <c r="J62" s="5"/>
    </row>
    <row r="63" s="1" customFormat="true" ht="28.5" hidden="false" customHeight="true" outlineLevel="0" collapsed="false">
      <c r="A63" s="35" t="s">
        <v>109</v>
      </c>
      <c r="B63" s="45" t="str">
        <f aca="false">VLOOKUP($A63,Questions!$A$2:$X$333,2,0)</f>
        <v>Do you have an information security awareness program?</v>
      </c>
      <c r="C63" s="46" t="s">
        <v>26</v>
      </c>
      <c r="D63" s="70" t="s">
        <v>16</v>
      </c>
      <c r="E63" s="48" t="str">
        <f aca="false">IF($C63="Yes",VLOOKUP($A63,Questions!$A$2:$X$333,17,0)&amp;"",IF($C63="No",VLOOKUP($A63,Questions!$A$2:$X$333,16,0)&amp;"",VLOOKUP($A63,Questions!$A$2:$X$333,15,0)&amp;""))</f>
        <v>State plans to implement an information security awareness program.</v>
      </c>
      <c r="F63" s="49" t="str">
        <f aca="false">VLOOKUP($A63,'Institution Evaluation'!$A$56:$F$346,6,0)&amp;""</f>
        <v/>
      </c>
      <c r="I63" s="5"/>
      <c r="J63" s="5"/>
    </row>
    <row r="64" customFormat="false" ht="28.5" hidden="false" customHeight="true" outlineLevel="0" collapsed="false">
      <c r="A64" s="35" t="s">
        <v>110</v>
      </c>
      <c r="B64" s="45" t="str">
        <f aca="false">VLOOKUP($A64,Questions!$A$2:$X$333,2,0)</f>
        <v>Is security awareness training mandatory for all employees?</v>
      </c>
      <c r="C64" s="46" t="s">
        <v>26</v>
      </c>
      <c r="D64" s="70" t="s">
        <v>111</v>
      </c>
      <c r="E64" s="48" t="str">
        <f aca="false">IF($C64="Yes",VLOOKUP($A64,Questions!$A$2:$X$333,17,0)&amp;"",IF($C64="No",VLOOKUP($A64,Questions!$A$2:$X$333,16,0)&amp;"",VLOOKUP($A64,Questions!$A$2:$X$333,15,0)&amp;""))</f>
        <v>State plans to make security awareness training mandatory for all employees.</v>
      </c>
      <c r="F64" s="49" t="str">
        <f aca="false">VLOOKUP($A64,'Institution Evaluation'!$A$56:$F$346,6,0)&amp;""</f>
        <v/>
      </c>
    </row>
    <row r="65" customFormat="false" ht="54" hidden="false" customHeight="true" outlineLevel="0" collapsed="false">
      <c r="A65" s="35" t="s">
        <v>112</v>
      </c>
      <c r="B65" s="45" t="str">
        <f aca="false">VLOOKUP($A65,Questions!$A$2:$X$333,2,0)</f>
        <v>Do you have process and procedure(s) documented, and currently followed, that require a review and update of the access list(s) for privileged accounts?</v>
      </c>
      <c r="C65" s="46" t="s">
        <v>26</v>
      </c>
      <c r="D65" s="70" t="s">
        <v>16</v>
      </c>
      <c r="E65" s="48" t="str">
        <f aca="false">IF($C65="Yes",VLOOKUP($A65,Questions!$A$2:$X$333,17,0)&amp;"",IF($C65="No",VLOOKUP($A65,Questions!$A$2:$X$333,16,0)&amp;"",VLOOKUP($A65,Questions!$A$2:$X$333,15,0)&amp;""))</f>
        <v>Describe plans to implement privileged account access list reviews to your environment.</v>
      </c>
      <c r="F65" s="49" t="str">
        <f aca="false">VLOOKUP($A65,'Institution Evaluation'!$A$56:$F$346,6,0)&amp;""</f>
        <v/>
      </c>
    </row>
    <row r="66" customFormat="false" ht="34.5" hidden="false" customHeight="true" outlineLevel="0" collapsed="false">
      <c r="A66" s="35" t="s">
        <v>113</v>
      </c>
      <c r="B66" s="45" t="str">
        <f aca="false">VLOOKUP($A66,Questions!$A$2:$X$333,2,0)</f>
        <v>Do you have documented, and currently implemented, internal audit processes and procedures?</v>
      </c>
      <c r="C66" s="46" t="s">
        <v>26</v>
      </c>
      <c r="D66" s="70" t="s">
        <v>16</v>
      </c>
      <c r="E66" s="48" t="str">
        <f aca="false">IF($C66="Yes",VLOOKUP($A66,Questions!$A$2:$X$333,17,0)&amp;"",IF($C66="No",VLOOKUP($A66,Questions!$A$2:$X$333,16,0)&amp;"",VLOOKUP($A66,Questions!$A$2:$X$333,15,0)&amp;""))</f>
        <v>State plans to document and implement internal audit process and procedure in your environment.</v>
      </c>
      <c r="F66" s="49" t="str">
        <f aca="false">VLOOKUP($A66,'Institution Evaluation'!$A$56:$F$346,6,0)&amp;""</f>
        <v/>
      </c>
    </row>
    <row r="67" customFormat="false" ht="39" hidden="false" customHeight="true" outlineLevel="0" collapsed="false">
      <c r="A67" s="35" t="s">
        <v>114</v>
      </c>
      <c r="B67" s="45" t="str">
        <f aca="false">VLOOKUP($A67,Questions!$A$2:$X$333,2,0)</f>
        <v>Does your organization have physical security controls and policies in place?</v>
      </c>
      <c r="C67" s="46" t="s">
        <v>26</v>
      </c>
      <c r="D67" s="70" t="s">
        <v>16</v>
      </c>
      <c r="E67" s="48" t="str">
        <f aca="false">IF($C67="Yes",VLOOKUP($A67,Questions!$A$2:$X$333,17,0)&amp;"",IF($C67="No",VLOOKUP($A67,Questions!$A$2:$X$333,16,0)&amp;"",IF($C67="N/A",VLOOKUP($A67,Questions!$A$2:$X$333,18,0)&amp;"",VLOOKUP($A67,Questions!$A$2:$X$333,15,0)&amp;"")))</f>
        <v>Describe your intent to implement physical security controls and policies.</v>
      </c>
      <c r="F67" s="49" t="str">
        <f aca="false">VLOOKUP($A67,'Institution Evaluation'!$A$56:$F$346,6,0)&amp;""</f>
        <v/>
      </c>
      <c r="G67" s="51" t="s">
        <v>37</v>
      </c>
      <c r="H67" s="5"/>
      <c r="I67" s="1"/>
      <c r="J67" s="1"/>
    </row>
    <row r="68" customFormat="false" ht="39" hidden="false" customHeight="true" outlineLevel="0" collapsed="false">
      <c r="A68" s="61" t="s">
        <v>50</v>
      </c>
      <c r="B68" s="56"/>
      <c r="C68" s="57"/>
      <c r="D68" s="72"/>
      <c r="E68" s="59"/>
      <c r="F68" s="60"/>
      <c r="G68" s="51"/>
      <c r="H68" s="5"/>
      <c r="I68" s="1"/>
      <c r="J68" s="1"/>
    </row>
    <row r="69" customFormat="false" ht="15" hidden="false" customHeight="true" outlineLevel="0" collapsed="false">
      <c r="A69" s="73"/>
    </row>
    <row r="70" customFormat="false" ht="15" hidden="true" customHeight="true" outlineLevel="0" collapsed="false">
      <c r="A70" s="1"/>
    </row>
    <row r="71" customFormat="false" ht="57" hidden="true" customHeight="true" outlineLevel="0" collapsed="false">
      <c r="A71" s="35" t="e">
        <f aca="false">#REF!</f>
        <v>#REF!</v>
      </c>
    </row>
    <row r="72" customFormat="false" ht="42.75" hidden="true" customHeight="true" outlineLevel="0" collapsed="false">
      <c r="A72" s="35" t="e">
        <f aca="false">#REF!</f>
        <v>#REF!</v>
      </c>
    </row>
    <row r="73" customFormat="false" ht="15" hidden="true" customHeight="true" outlineLevel="0" collapsed="false">
      <c r="A73" s="35" t="e">
        <f aca="false">#REF!</f>
        <v>#REF!</v>
      </c>
    </row>
    <row r="74" customFormat="false" ht="15" hidden="true" customHeight="true" outlineLevel="0" collapsed="false">
      <c r="A74" s="35" t="e">
        <f aca="false">#REF!</f>
        <v>#REF!</v>
      </c>
    </row>
    <row r="75" customFormat="false" ht="15" hidden="true" customHeight="true" outlineLevel="0" collapsed="false">
      <c r="A75" s="35" t="e">
        <f aca="false">#REF!</f>
        <v>#REF!</v>
      </c>
    </row>
    <row r="76" customFormat="false" ht="15" hidden="true" customHeight="true" outlineLevel="0" collapsed="false">
      <c r="A76" s="35" t="e">
        <f aca="false">#REF!</f>
        <v>#REF!</v>
      </c>
    </row>
    <row r="77" customFormat="false" ht="15" hidden="true" customHeight="true" outlineLevel="0" collapsed="false">
      <c r="A77" s="35" t="e">
        <f aca="false">#REF!</f>
        <v>#REF!</v>
      </c>
    </row>
    <row r="78" customFormat="false" ht="15" hidden="true" customHeight="true" outlineLevel="0" collapsed="false"/>
    <row r="79" customFormat="false" ht="15" hidden="true" customHeight="true" outlineLevel="0" collapsed="false"/>
    <row r="80" customFormat="false" ht="15" hidden="true" customHeight="true" outlineLevel="0" collapsed="false"/>
    <row r="81" customFormat="false" ht="15" hidden="true" customHeight="true" outlineLevel="0" collapsed="false"/>
    <row r="82" customFormat="false" ht="15" hidden="true" customHeight="true" outlineLevel="0" collapsed="false"/>
    <row r="83" customFormat="false" ht="15" hidden="true" customHeight="true" outlineLevel="0" collapsed="false"/>
    <row r="84" customFormat="false" ht="15" hidden="true" customHeight="true" outlineLevel="0" collapsed="false"/>
    <row r="85" customFormat="false" ht="15" hidden="true" customHeight="true" outlineLevel="0" collapsed="false"/>
    <row r="86" customFormat="false" ht="15" hidden="true" customHeight="true" outlineLevel="0" collapsed="false"/>
    <row r="87" customFormat="false" ht="15" hidden="true" customHeight="true" outlineLevel="0" collapsed="false"/>
    <row r="88" customFormat="false" ht="15" hidden="true" customHeight="true" outlineLevel="0" collapsed="false"/>
    <row r="89" customFormat="false" ht="15" hidden="true" customHeight="true" outlineLevel="0" collapsed="false"/>
    <row r="90" customFormat="false" ht="15" hidden="true" customHeight="true" outlineLevel="0" collapsed="false"/>
    <row r="91" customFormat="false" ht="15" hidden="true" customHeight="true" outlineLevel="0" collapsed="false"/>
    <row r="92" customFormat="false" ht="15" hidden="true" customHeight="true" outlineLevel="0" collapsed="false"/>
    <row r="93" customFormat="false" ht="15" hidden="true" customHeight="true" outlineLevel="0" collapsed="false"/>
    <row r="94" customFormat="false" ht="15" hidden="true" customHeight="true" outlineLevel="0" collapsed="false"/>
    <row r="95" customFormat="false" ht="15" hidden="true" customHeight="true" outlineLevel="0" collapsed="false"/>
    <row r="96" customFormat="false" ht="15" hidden="true" customHeight="true" outlineLevel="0" collapsed="false"/>
    <row r="97" customFormat="false" ht="15" hidden="true" customHeight="true" outlineLevel="0" collapsed="false"/>
    <row r="98" customFormat="false" ht="15" hidden="true" customHeight="true" outlineLevel="0" collapsed="false"/>
    <row r="99" customFormat="false" ht="15" hidden="true" customHeight="true" outlineLevel="0" collapsed="false"/>
    <row r="100" customFormat="false" ht="15" hidden="true" customHeight="true" outlineLevel="0" collapsed="false"/>
    <row r="101" customFormat="false" ht="15" hidden="true" customHeight="true" outlineLevel="0" collapsed="false"/>
    <row r="102" customFormat="false" ht="15" hidden="true" customHeight="true" outlineLevel="0" collapsed="false"/>
    <row r="103" customFormat="false" ht="15" hidden="true" customHeight="true" outlineLevel="0" collapsed="false"/>
    <row r="104" customFormat="false" ht="15" hidden="true" customHeight="true" outlineLevel="0" collapsed="false"/>
    <row r="105" customFormat="false" ht="15" hidden="true" customHeight="true" outlineLevel="0" collapsed="false"/>
    <row r="106" customFormat="false" ht="15" hidden="true" customHeight="true" outlineLevel="0" collapsed="false"/>
    <row r="107" customFormat="false" ht="15" hidden="true" customHeight="true" outlineLevel="0" collapsed="false"/>
    <row r="108" customFormat="false" ht="15" hidden="true" customHeight="true" outlineLevel="0" collapsed="false"/>
    <row r="109" customFormat="false" ht="15" hidden="true" customHeight="true" outlineLevel="0" collapsed="false"/>
    <row r="110" customFormat="false" ht="15" hidden="true" customHeight="true" outlineLevel="0" collapsed="false"/>
    <row r="111" customFormat="false" ht="15" hidden="true" customHeight="true" outlineLevel="0" collapsed="false"/>
    <row r="112" customFormat="false" ht="15" hidden="true" customHeight="true" outlineLevel="0" collapsed="false"/>
  </sheetData>
  <dataValidations count="4">
    <dataValidation allowBlank="true" errorStyle="stop" operator="between" prompt="The HECVAT is built using a number of complex formulas. Editing this cell can break the functionality of the tool. " promptTitle="Warning!" showDropDown="false" showErrorMessage="true" showInputMessage="true" sqref="B2:F2 A3:B68 D3:F3 C5:F12 C21:F21 D22:F28 C29:F29 E30:F34 C35:F35 E36:F51 C52:F52 E53:F67" type="none">
      <formula1>0</formula1>
      <formula2>0</formula2>
    </dataValidation>
    <dataValidation allowBlank="true" errorStyle="stop" operator="between" prompt="This answer has been populated from the &quot;START HERE&quot; tab and does not need to be re-entered." showDropDown="false" showErrorMessage="true" showInputMessage="true" sqref="C3 C13:C20" type="none">
      <formula1>0</formula1>
      <formula2>0</formula2>
    </dataValidation>
    <dataValidation allowBlank="true" errorStyle="stop" operator="between" showDropDown="false" showErrorMessage="true" showInputMessage="true" sqref="C22:C28 C30:C34 C36 C39:C43 C47:C51 C53:C66 C68" type="list">
      <formula1>'Auto Responses'!$J$3:$J$4</formula1>
      <formula2>0</formula2>
    </dataValidation>
    <dataValidation allowBlank="true" errorStyle="stop" operator="between" showDropDown="false" showErrorMessage="true" showInputMessage="true" sqref="C37:C38 C44:C46 C67" type="list">
      <formula1>'Auto Responses'!$J$3:$J$5</formula1>
      <formula2>0</formula2>
    </dataValidation>
  </dataValidations>
  <hyperlinks>
    <hyperlink ref="A11" r:id="rId1" display="http://www.educause.edu/HECVAT"/>
    <hyperlink ref="D60" r:id="rId2" display="https://www.qgis.org/resources/support/security/"/>
  </hyperlinks>
  <printOptions headings="false" gridLines="false" gridLinesSet="true" horizontalCentered="false" verticalCentered="false"/>
  <pageMargins left="0.75" right="0.75" top="1" bottom="1"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&amp;L&amp;"Arial,Regular"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636C"/>
    <pageSetUpPr fitToPage="false"/>
  </sheetPr>
  <dimension ref="A1:J85"/>
  <sheetViews>
    <sheetView showFormulas="false" showGridLines="false" showRowColHeaders="true" showZeros="false" rightToLeft="false" tabSelected="false" showOutlineSymbols="true" defaultGridColor="true" view="normal" topLeftCell="A18" colorId="64" zoomScale="95" zoomScaleNormal="95" zoomScalePageLayoutView="100" workbookViewId="0">
      <selection pane="topLeft" activeCell="C39" activeCellId="0" sqref="C39"/>
    </sheetView>
  </sheetViews>
  <sheetFormatPr defaultColWidth="6.6015625" defaultRowHeight="12.8" customHeight="true" zeroHeight="true" outlineLevelRow="0" outlineLevelCol="0"/>
  <cols>
    <col collapsed="false" customWidth="true" hidden="false" outlineLevel="0" max="1" min="1" style="0" width="8.3"/>
    <col collapsed="false" customWidth="true" hidden="false" outlineLevel="0" max="2" min="2" style="1" width="55.1"/>
    <col collapsed="false" customWidth="true" hidden="false" outlineLevel="0" max="3" min="3" style="2" width="18.9"/>
    <col collapsed="false" customWidth="true" hidden="false" outlineLevel="0" max="4" min="4" style="3" width="55.7"/>
    <col collapsed="false" customWidth="true" hidden="false" outlineLevel="0" max="5" min="5" style="4" width="32"/>
    <col collapsed="false" customWidth="true" hidden="false" outlineLevel="0" max="6" min="6" style="1" width="30.7"/>
    <col collapsed="false" customWidth="true" hidden="false" outlineLevel="0" max="7" min="7" style="1" width="18.1"/>
    <col collapsed="false" customWidth="true" hidden="true" outlineLevel="0" max="8" min="8" style="1" width="18.1"/>
    <col collapsed="false" customWidth="true" hidden="true" outlineLevel="0" max="10" min="9" style="5" width="18.1"/>
    <col collapsed="false" customWidth="true" hidden="true" outlineLevel="0" max="11" min="11" style="1" width="4.5"/>
    <col collapsed="false" customWidth="false" hidden="true" outlineLevel="0" max="12" min="12" style="1" width="6.6"/>
    <col collapsed="false" customWidth="false" hidden="true" outlineLevel="0" max="16384" min="13" style="0" width="6.6"/>
  </cols>
  <sheetData>
    <row r="1" customFormat="false" ht="231.3" hidden="true" customHeight="false" outlineLevel="0" collapsed="false">
      <c r="A1" s="6" t="s">
        <v>0</v>
      </c>
    </row>
    <row r="2" customFormat="false" ht="36" hidden="false" customHeight="true" outlineLevel="0" collapsed="false">
      <c r="A2" s="7" t="s">
        <v>115</v>
      </c>
      <c r="B2" s="7"/>
      <c r="C2" s="8"/>
      <c r="D2" s="9"/>
      <c r="E2" s="10"/>
      <c r="F2" s="10" t="str">
        <f aca="false">'Auto Responses'!$A$36</f>
        <v>Version 4.1.2</v>
      </c>
      <c r="J2" s="1"/>
    </row>
    <row r="3" s="1" customFormat="true" ht="28.5" hidden="false" customHeight="true" outlineLevel="0" collapsed="false">
      <c r="A3" s="11" t="s">
        <v>2</v>
      </c>
      <c r="B3" s="12"/>
      <c r="C3" s="62" t="n">
        <f aca="false">'START HERE'!$C$3</f>
        <v>0</v>
      </c>
      <c r="D3" s="14"/>
      <c r="E3" s="15"/>
      <c r="F3" s="16"/>
      <c r="I3" s="5"/>
    </row>
    <row r="4" s="1" customFormat="true" ht="36" hidden="false" customHeight="true" outlineLevel="0" collapsed="false">
      <c r="A4" s="17" t="s">
        <v>3</v>
      </c>
      <c r="B4" s="18"/>
      <c r="C4" s="19"/>
      <c r="D4" s="20"/>
      <c r="E4" s="21"/>
      <c r="F4" s="21"/>
      <c r="I4" s="5"/>
    </row>
    <row r="5" s="1" customFormat="true" ht="19.5" hidden="false" customHeight="true" outlineLevel="0" collapsed="false">
      <c r="A5" s="22" t="str">
        <f aca="false">HLOOKUP($A$4,'Auto Responses'!$D$2:$D$8,2,0)&amp;""</f>
        <v>1. Complete the "Start Here" tab and review the "Required Questions" guidance to find the other sections are required for your product or service.</v>
      </c>
      <c r="B5" s="23"/>
      <c r="C5" s="24"/>
      <c r="D5" s="25"/>
      <c r="E5" s="23"/>
      <c r="F5" s="23"/>
      <c r="I5" s="5"/>
    </row>
    <row r="6" s="1" customFormat="true" ht="19.5" hidden="false" customHeight="true" outlineLevel="0" collapsed="false">
      <c r="A6" s="22" t="str">
        <f aca="false">HLOOKUP($A$4,'Auto Responses'!$D$2:$D$8,3,0)&amp;""</f>
        <v>2. Complete the "Organization" tab and the applicable questions in each of the next 5 tabs (Product through Privacy) that apply, based on your answers to the "Required Questions."</v>
      </c>
      <c r="B6" s="23"/>
      <c r="C6" s="24"/>
      <c r="D6" s="25"/>
      <c r="E6" s="23"/>
      <c r="F6" s="23"/>
      <c r="I6" s="5"/>
    </row>
    <row r="7" s="1" customFormat="true" ht="19.5" hidden="false" customHeight="true" outlineLevel="0" collapsed="false">
      <c r="A7" s="22" t="str">
        <f aca="false">HLOOKUP($A$4,'Auto Responses'!$D$2:$D$8,4,0)&amp;""</f>
        <v>3. Guidance in column E may change based on your answers to prompt details in "Additional Information." If leaving an answer blank, you must also state why in "Additional Information". </v>
      </c>
      <c r="B7" s="23"/>
      <c r="C7" s="24"/>
      <c r="D7" s="25"/>
      <c r="E7" s="23"/>
      <c r="F7" s="23"/>
      <c r="I7" s="5"/>
    </row>
    <row r="8" s="1" customFormat="true" ht="19.5" hidden="false" customHeight="true" outlineLevel="0" collapsed="false">
      <c r="A8" s="22" t="str">
        <f aca="false">HLOOKUP($A$4,'Auto Responses'!$D$2:$D$8,5,0)&amp;""</f>
        <v>4. DO NOT complete any fields in the "Evaluation" sheets or the "Analyst Notes" column.</v>
      </c>
      <c r="B8" s="23"/>
      <c r="C8" s="24"/>
      <c r="D8" s="25"/>
      <c r="E8" s="23"/>
      <c r="F8" s="23"/>
      <c r="I8" s="5"/>
    </row>
    <row r="9" s="1" customFormat="true" ht="19.5" hidden="false" customHeight="true" outlineLevel="0" collapsed="false">
      <c r="A9" s="22" t="str">
        <f aca="false">HLOOKUP($A$4,'Auto Responses'!$D$2:$D$8,6,0)&amp;""</f>
        <v>5. Return the completed file to institutions.</v>
      </c>
      <c r="B9" s="23"/>
      <c r="C9" s="24"/>
      <c r="D9" s="25"/>
      <c r="E9" s="23"/>
      <c r="F9" s="23"/>
      <c r="I9" s="5"/>
    </row>
    <row r="10" s="1" customFormat="true" ht="19.5" hidden="false" customHeight="true" outlineLevel="0" collapsed="false">
      <c r="A10" s="28" t="str">
        <f aca="false">HLOOKUP($A$4,'Auto Responses'!$D$2:$D$8,7,0)&amp;""</f>
        <v>* Denotes critical questions. Critical questions are those deemed most important to institutions by higher education volunteers.</v>
      </c>
      <c r="B10" s="23"/>
      <c r="C10" s="24"/>
      <c r="D10" s="25"/>
      <c r="E10" s="23"/>
      <c r="F10" s="23"/>
      <c r="I10" s="5"/>
    </row>
    <row r="11" s="1" customFormat="true" ht="19.5" hidden="false" customHeight="true" outlineLevel="0" collapsed="false">
      <c r="A11" s="29" t="str">
        <f aca="false">HLOOKUP($A$4,'Auto Responses'!$D$2:$D$9,8,0)&amp;""</f>
        <v>For full instructions, please visit educause.edu/HECVAT</v>
      </c>
      <c r="B11" s="23"/>
      <c r="C11" s="24"/>
      <c r="D11" s="25"/>
      <c r="E11" s="23"/>
      <c r="F11" s="23"/>
      <c r="I11" s="5"/>
    </row>
    <row r="12" s="1" customFormat="true" ht="36" hidden="false" customHeight="true" outlineLevel="0" collapsed="false">
      <c r="A12" s="31" t="str">
        <f aca="false">VLOOKUP(LEFT($A13,4),'Auto Responses'!$N$4:$O$38,2,0)&amp;""</f>
        <v> General Information</v>
      </c>
      <c r="B12" s="18"/>
      <c r="C12" s="19" t="s">
        <v>21</v>
      </c>
      <c r="D12" s="33"/>
      <c r="E12" s="34"/>
      <c r="F12" s="34"/>
      <c r="I12" s="5"/>
      <c r="J12" s="5"/>
    </row>
    <row r="13" s="1" customFormat="true" ht="21.75" hidden="false" customHeight="true" outlineLevel="0" collapsed="false">
      <c r="A13" s="35" t="s">
        <v>4</v>
      </c>
      <c r="B13" s="36" t="str">
        <f aca="false">VLOOKUP($A13,Questions!$A$2:$X$333,2,0)&amp;""</f>
        <v>Solution Provider Name</v>
      </c>
      <c r="C13" s="37" t="str">
        <f aca="false">VLOOKUP($A13,'START HERE'!$A$13:$C$21,3,0)&amp;""</f>
        <v>QGIS.org</v>
      </c>
      <c r="D13" s="38"/>
      <c r="E13" s="38"/>
      <c r="F13" s="16"/>
      <c r="I13" s="5"/>
      <c r="J13" s="5"/>
    </row>
    <row r="14" s="1" customFormat="true" ht="21.75" hidden="false" customHeight="true" outlineLevel="0" collapsed="false">
      <c r="A14" s="35" t="s">
        <v>6</v>
      </c>
      <c r="B14" s="36" t="str">
        <f aca="false">VLOOKUP($A14,Questions!$A$2:$X$333,2,0)&amp;""</f>
        <v>Solution Name</v>
      </c>
      <c r="C14" s="37" t="str">
        <f aca="false">VLOOKUP($A14,'START HERE'!$A$13:$C$21,3,0)&amp;""</f>
        <v>QGIS.org</v>
      </c>
      <c r="D14" s="38"/>
      <c r="E14" s="38"/>
      <c r="F14" s="16"/>
      <c r="I14" s="5"/>
      <c r="J14" s="5"/>
    </row>
    <row r="15" s="1" customFormat="true" ht="21.75" hidden="false" customHeight="true" outlineLevel="0" collapsed="false">
      <c r="A15" s="35" t="s">
        <v>7</v>
      </c>
      <c r="B15" s="36" t="str">
        <f aca="false">VLOOKUP($A15,Questions!$A$2:$X$333,2,0)&amp;""</f>
        <v>Solution Description</v>
      </c>
      <c r="C15" s="37" t="str">
        <f aca="false">VLOOKUP($A15,'START HERE'!$A$13:$C$21,3,0)&amp;""</f>
        <v>QGIS is a free and open source Geographic information system, running on Windows, MacOS, Linux and with solution for mobile OS.</v>
      </c>
      <c r="D15" s="38"/>
      <c r="E15" s="38"/>
      <c r="F15" s="16"/>
      <c r="I15" s="5"/>
      <c r="J15" s="5"/>
    </row>
    <row r="16" s="1" customFormat="true" ht="21.75" hidden="false" customHeight="true" outlineLevel="0" collapsed="false">
      <c r="A16" s="35" t="s">
        <v>17</v>
      </c>
      <c r="B16" s="36" t="str">
        <f aca="false">VLOOKUP($A16,Questions!$A$2:$X$333,2,0)&amp;""</f>
        <v>Country of Company Headquarters</v>
      </c>
      <c r="C16" s="37" t="str">
        <f aca="false">VLOOKUP($A16,'START HERE'!$A$13:$C$21,3,0)&amp;""</f>
        <v>Switzerland</v>
      </c>
      <c r="D16" s="38"/>
      <c r="E16" s="38"/>
      <c r="F16" s="16"/>
      <c r="I16" s="5"/>
      <c r="J16" s="5"/>
    </row>
    <row r="17" s="1" customFormat="true" ht="36.75" hidden="false" customHeight="true" outlineLevel="0" collapsed="false">
      <c r="A17" s="31" t="str">
        <f aca="false">VLOOKUP(LEFT($A18,4),'Auto Responses'!$N$4:$O$38,2,0)&amp;""</f>
        <v> Required Questions</v>
      </c>
      <c r="B17" s="42"/>
      <c r="C17" s="19" t="s">
        <v>21</v>
      </c>
      <c r="D17" s="19"/>
      <c r="E17" s="43" t="s">
        <v>23</v>
      </c>
      <c r="F17" s="52" t="s">
        <v>24</v>
      </c>
      <c r="I17" s="5"/>
      <c r="J17" s="5"/>
    </row>
    <row r="18" s="1" customFormat="true" ht="38.25" hidden="false" customHeight="true" outlineLevel="0" collapsed="false">
      <c r="A18" s="35" t="s">
        <v>38</v>
      </c>
      <c r="B18" s="45" t="str">
        <f aca="false">VLOOKUP($A18,Questions!$A$2:$X$333,2,0)</f>
        <v>Are you offering a cloud-based product?</v>
      </c>
      <c r="C18" s="74" t="str">
        <f aca="false">VLOOKUP($A18,'START HERE'!$A$23:$F$36,3,0)&amp;""</f>
        <v>No</v>
      </c>
      <c r="D18" s="75" t="str">
        <f aca="false">VLOOKUP($A18,'START HERE'!$A$23:$F$36,4,0)&amp;""</f>
        <v>external companies can build Saas services using QGIS server or QGIS mobiile features, but those are separate products and handled by other companies</v>
      </c>
      <c r="E18" s="48" t="str">
        <f aca="false">IF($C18="Yes",VLOOKUP($A18,Questions!$A$2:$X$333,17,0)&amp;"",IF($C18="No",VLOOKUP($A18,Questions!$A$2:$X$333,16,0)&amp;"",VLOOKUP($A18,Questions!$A$2:$X$333,15,0)&amp;""))</f>
        <v>DO NOT complete the Product and Infrastructure worksheets</v>
      </c>
      <c r="F18" s="49" t="str">
        <f aca="false">VLOOKUP($A18,'Institution Evaluation'!$A$56:$F$346,6,0)&amp;""</f>
        <v/>
      </c>
      <c r="G18" s="51" t="s">
        <v>37</v>
      </c>
      <c r="I18" s="5"/>
      <c r="J18" s="5"/>
    </row>
    <row r="19" s="1" customFormat="true" ht="36.75" hidden="false" customHeight="true" outlineLevel="0" collapsed="false">
      <c r="A19" s="31" t="str">
        <f aca="false">VLOOKUP(LEFT($A20,4),'Auto Responses'!$N$4:$O$38,2,0)&amp;""</f>
        <v> Authentication, Authorization, and Account Management</v>
      </c>
      <c r="B19" s="42"/>
      <c r="C19" s="19" t="s">
        <v>21</v>
      </c>
      <c r="D19" s="19" t="s">
        <v>22</v>
      </c>
      <c r="E19" s="43" t="s">
        <v>23</v>
      </c>
      <c r="F19" s="52" t="s">
        <v>24</v>
      </c>
      <c r="I19" s="5"/>
      <c r="J19" s="5"/>
    </row>
    <row r="20" s="1" customFormat="true" ht="97.5" hidden="false" customHeight="true" outlineLevel="0" collapsed="false">
      <c r="A20" s="35" t="s">
        <v>116</v>
      </c>
      <c r="B20" s="45" t="str">
        <f aca="false">VLOOKUP($A20,Questions!$A$2:$X$333,2,0)</f>
        <v>Does your solution support single sign-on (SSO) protocols for user and administrator authentication?*</v>
      </c>
      <c r="C20" s="46"/>
      <c r="D20" s="47"/>
      <c r="E20" s="48" t="str">
        <f aca="false">IF($C$18="No",'Auto Responses'!$A$3,IF($C20="Yes",VLOOKUP($A20,Questions!$A$2:$X$333,17,0)&amp;"",IF($C20="No",VLOOKUP($A20,Questions!$A$2:$X$333,16,0)&amp;"",VLOOKUP($A20,Questions!$A$2:$X$333,15,0)&amp;"")))</f>
        <v>Based on the response to REQU-01 on the "START HERE" tab, this question does not apply to this product or service. </v>
      </c>
      <c r="F20" s="49" t="str">
        <f aca="false">VLOOKUP($A20,'Institution Evaluation'!$A$56:$F$346,6,0)&amp;""</f>
        <v/>
      </c>
      <c r="I20" s="5"/>
      <c r="J20" s="5"/>
    </row>
    <row r="21" s="1" customFormat="true" ht="45.75" hidden="false" customHeight="true" outlineLevel="0" collapsed="false">
      <c r="A21" s="35" t="s">
        <v>117</v>
      </c>
      <c r="B21" s="45" t="str">
        <f aca="false">VLOOKUP($A21,Questions!$A$2:$X$333,2,0)</f>
        <v>For customers not using SSO, does your solution support local authentication protocols for user and administrator authentication?*</v>
      </c>
      <c r="C21" s="46"/>
      <c r="D21" s="47"/>
      <c r="E21" s="48" t="str">
        <f aca="false">IF($C$18="No",'Auto Responses'!$A$3,IF($C21="Yes",VLOOKUP($A21,Questions!$A$2:$X$333,17,0)&amp;"",IF($C21="No",VLOOKUP($A21,Questions!$A$2:$X$333,16,0)&amp;"",VLOOKUP($A21,Questions!$A$2:$X$333,15,0)&amp;"")))</f>
        <v>Based on the response to REQU-01 on the "START HERE" tab, this question does not apply to this product or service. </v>
      </c>
      <c r="F21" s="49" t="str">
        <f aca="false">VLOOKUP($A21,'Institution Evaluation'!$A$56:$F$346,6,0)&amp;""</f>
        <v/>
      </c>
      <c r="I21" s="5"/>
      <c r="J21" s="5"/>
    </row>
    <row r="22" s="1" customFormat="true" ht="48" hidden="false" customHeight="true" outlineLevel="0" collapsed="false">
      <c r="A22" s="35" t="s">
        <v>118</v>
      </c>
      <c r="B22" s="45" t="str">
        <f aca="false">VLOOKUP($A22,Questions!$A$2:$X$333,2,0)</f>
        <v>For customers not using SSO, can you enforce password/passphrase complexity requirements (provided by the institution)?*</v>
      </c>
      <c r="C22" s="46"/>
      <c r="D22" s="47"/>
      <c r="E22" s="48" t="str">
        <f aca="false">IF($C$18="No",'Auto Responses'!$A$3,IF($C22="Yes",VLOOKUP($A22,Questions!$A$2:$X$333,17,0)&amp;"",IF($C22="No",VLOOKUP($A22,Questions!$A$2:$X$333,16,0)&amp;"",VLOOKUP($A22,Questions!$A$2:$X$333,15,0)&amp;"")))</f>
        <v>Based on the response to REQU-01 on the "START HERE" tab, this question does not apply to this product or service. </v>
      </c>
      <c r="F22" s="49" t="str">
        <f aca="false">VLOOKUP($A22,'Institution Evaluation'!$A$56:$F$346,6,0)&amp;""</f>
        <v/>
      </c>
      <c r="I22" s="5"/>
      <c r="J22" s="5"/>
    </row>
    <row r="23" s="1" customFormat="true" ht="72" hidden="false" customHeight="true" outlineLevel="0" collapsed="false">
      <c r="A23" s="35" t="s">
        <v>119</v>
      </c>
      <c r="B23" s="45" t="str">
        <f aca="false">VLOOKUP($A23,Questions!$A$2:$X$333,2,0)</f>
        <v>For customers not using SSO, does the system have password complexity or length limitations and/or restrictions?*</v>
      </c>
      <c r="C23" s="46"/>
      <c r="D23" s="47"/>
      <c r="E23" s="48" t="str">
        <f aca="false">IF($C$18="No",'Auto Responses'!$A$3,IF($C23="Yes",VLOOKUP($A23,Questions!$A$2:$X$333,17,0)&amp;"",IF($C23="No",VLOOKUP($A23,Questions!$A$2:$X$333,16,0)&amp;"",VLOOKUP($A23,Questions!$A$2:$X$333,15,0)&amp;"")))</f>
        <v>Based on the response to REQU-01 on the "START HERE" tab, this question does not apply to this product or service. </v>
      </c>
      <c r="F23" s="49" t="str">
        <f aca="false">VLOOKUP($A23,'Institution Evaluation'!$A$56:$F$346,6,0)&amp;""</f>
        <v/>
      </c>
      <c r="I23" s="5"/>
      <c r="J23" s="5"/>
    </row>
    <row r="24" s="1" customFormat="true" ht="73.5" hidden="false" customHeight="true" outlineLevel="0" collapsed="false">
      <c r="A24" s="35" t="s">
        <v>120</v>
      </c>
      <c r="B24" s="45" t="str">
        <f aca="false">VLOOKUP($A24,Questions!$A$2:$X$333,2,0)</f>
        <v>For customers not using SSO, do you have documented password/passphrase reset procedures that are currently implemented in the system and/or customer support?*</v>
      </c>
      <c r="C24" s="46"/>
      <c r="D24" s="47"/>
      <c r="E24" s="48" t="str">
        <f aca="false">IF($C$18="No",'Auto Responses'!$A$3,IF($C24="Yes",VLOOKUP($A24,Questions!$A$2:$X$333,17,0)&amp;"",IF($C24="No",VLOOKUP($A24,Questions!$A$2:$X$333,16,0)&amp;"",VLOOKUP($A24,Questions!$A$2:$X$333,15,0)&amp;"")))</f>
        <v>Based on the response to REQU-01 on the "START HERE" tab, this question does not apply to this product or service. </v>
      </c>
      <c r="F24" s="49" t="str">
        <f aca="false">VLOOKUP($A24,'Institution Evaluation'!$A$56:$F$346,6,0)&amp;""</f>
        <v/>
      </c>
      <c r="H24" s="5"/>
      <c r="I24" s="5"/>
      <c r="J24" s="5"/>
    </row>
    <row r="25" s="1" customFormat="true" ht="57.75" hidden="false" customHeight="true" outlineLevel="0" collapsed="false">
      <c r="A25" s="35" t="s">
        <v>121</v>
      </c>
      <c r="B25" s="45" t="str">
        <f aca="false">VLOOKUP($A25,Questions!$A$2:$X$333,2,0)</f>
        <v>Does your organization participate in InCommon or another eduGAIN-affiliated trust federation?*</v>
      </c>
      <c r="C25" s="46"/>
      <c r="D25" s="47"/>
      <c r="E25" s="48" t="str">
        <f aca="false">IF($C$18="No",'Auto Responses'!$A$3,IF($C25="Yes",VLOOKUP($A25,Questions!$A$2:$X$333,17,0)&amp;"",IF($C25="No",VLOOKUP($A25,Questions!$A$2:$X$333,16,0)&amp;"",VLOOKUP($A25,Questions!$A$2:$X$333,15,0)&amp;"")))</f>
        <v>Based on the response to REQU-01 on the "START HERE" tab, this question does not apply to this product or service. </v>
      </c>
      <c r="F25" s="49" t="str">
        <f aca="false">VLOOKUP($A25,'Institution Evaluation'!$A$56:$F$346,6,0)&amp;""</f>
        <v/>
      </c>
      <c r="I25" s="5"/>
      <c r="J25" s="5"/>
    </row>
    <row r="26" s="1" customFormat="true" ht="38.25" hidden="false" customHeight="true" outlineLevel="0" collapsed="false">
      <c r="A26" s="35" t="s">
        <v>122</v>
      </c>
      <c r="B26" s="45" t="str">
        <f aca="false">VLOOKUP($A26,Questions!$A$2:$X$333,2,0)</f>
        <v>Are there any passwords/passphrases hard-coded into your systems or solutions?*</v>
      </c>
      <c r="C26" s="46"/>
      <c r="D26" s="47"/>
      <c r="E26" s="48" t="str">
        <f aca="false">IF($C$18="No",'Auto Responses'!$A$3,IF($C26="Yes",VLOOKUP($A26,Questions!$A$2:$X$333,17,0)&amp;"",IF($C26="No",VLOOKUP($A26,Questions!$A$2:$X$333,16,0)&amp;"",VLOOKUP($A26,Questions!$A$2:$X$333,15,0)&amp;"")))</f>
        <v>Based on the response to REQU-01 on the "START HERE" tab, this question does not apply to this product or service. </v>
      </c>
      <c r="F26" s="49" t="str">
        <f aca="false">VLOOKUP($A26,'Institution Evaluation'!$A$56:$F$346,6,0)&amp;""</f>
        <v/>
      </c>
      <c r="I26" s="5"/>
      <c r="J26" s="5"/>
    </row>
    <row r="27" s="1" customFormat="true" ht="38.25" hidden="false" customHeight="true" outlineLevel="0" collapsed="false">
      <c r="A27" s="35" t="s">
        <v>123</v>
      </c>
      <c r="B27" s="45" t="str">
        <f aca="false">VLOOKUP($A27,Questions!$A$2:$X$333,2,0)</f>
        <v>Are you storing any passwords in plaintext?*</v>
      </c>
      <c r="C27" s="46"/>
      <c r="D27" s="47"/>
      <c r="E27" s="48" t="str">
        <f aca="false">IF($C$18="No",'Auto Responses'!$A$3,IF($C27="Yes",VLOOKUP($A27,Questions!$A$2:$X$333,17,0)&amp;"",IF($C27="No",VLOOKUP($A27,Questions!$A$2:$X$333,16,0)&amp;"",VLOOKUP($A27,Questions!$A$2:$X$333,15,0)&amp;"")))</f>
        <v>Based on the response to REQU-01 on the "START HERE" tab, this question does not apply to this product or service. </v>
      </c>
      <c r="F27" s="49" t="str">
        <f aca="false">VLOOKUP($A27,'Institution Evaluation'!$A$56:$F$346,6,0)&amp;""</f>
        <v/>
      </c>
      <c r="I27" s="5"/>
      <c r="J27" s="5"/>
    </row>
    <row r="28" s="1" customFormat="true" ht="69.75" hidden="false" customHeight="true" outlineLevel="0" collapsed="false">
      <c r="A28" s="35" t="s">
        <v>124</v>
      </c>
      <c r="B28" s="45" t="str">
        <f aca="false">VLOOKUP($A28,Questions!$A$2:$X$333,2,0)</f>
        <v>Are audit logs available that include AT LEAST all of the following: login, logout, actions performed, and source IP address?*</v>
      </c>
      <c r="C28" s="46"/>
      <c r="D28" s="47"/>
      <c r="E28" s="48" t="str">
        <f aca="false">IF($C$18="No",'Auto Responses'!$A$3,IF($C28="Yes",VLOOKUP($A28,Questions!$A$2:$X$333,17,0)&amp;"",IF($C28="No",VLOOKUP($A28,Questions!$A$2:$X$333,16,0)&amp;"",VLOOKUP($A28,Questions!$A$2:$X$333,15,0)&amp;"")))</f>
        <v>Based on the response to REQU-01 on the "START HERE" tab, this question does not apply to this product or service. </v>
      </c>
      <c r="F28" s="49" t="str">
        <f aca="false">VLOOKUP($A28,'Institution Evaluation'!$A$56:$F$346,6,0)&amp;""</f>
        <v/>
      </c>
      <c r="I28" s="5"/>
      <c r="J28" s="5"/>
    </row>
    <row r="29" s="1" customFormat="true" ht="104.25" hidden="false" customHeight="true" outlineLevel="0" collapsed="false">
      <c r="A29" s="35" t="s">
        <v>125</v>
      </c>
      <c r="B29" s="45" t="str">
        <f aca="false">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46"/>
      <c r="D29" s="0"/>
      <c r="E29" s="48" t="str">
        <f aca="false">IF($C$18="No",'Auto Responses'!$A$3,IF($C29="Yes",VLOOKUP($A29,Questions!$A$2:$X$333,17,0)&amp;"",IF($C29="No",VLOOKUP($A29,Questions!$A$2:$X$333,16,0)&amp;"",VLOOKUP($A29,Questions!$A$2:$X$333,15,0)&amp;"")))</f>
        <v>Based on the response to REQU-01 on the "START HERE" tab, this question does not apply to this product or service. </v>
      </c>
      <c r="F29" s="49" t="str">
        <f aca="false">VLOOKUP($A29,'Institution Evaluation'!$A$56:$F$346,6,0)&amp;""</f>
        <v/>
      </c>
      <c r="I29" s="5"/>
      <c r="J29" s="5"/>
    </row>
    <row r="30" s="1" customFormat="true" ht="48" hidden="false" customHeight="true" outlineLevel="0" collapsed="false">
      <c r="A30" s="35" t="s">
        <v>126</v>
      </c>
      <c r="B30" s="45" t="str">
        <f aca="false">VLOOKUP($A30,Questions!$A$2:$X$333,2,0)</f>
        <v>Can you provide the institution documentation regarding the retention period for those logs, how logs are protected, and whether they are accessible to the customer (and if so, how)?*</v>
      </c>
      <c r="C30" s="46"/>
      <c r="D30" s="47"/>
      <c r="E30" s="48" t="str">
        <f aca="false">IF($C$18="No",'Auto Responses'!$A$3,IF($C30="Yes",VLOOKUP($A30,Questions!$A$2:$X$333,17,0)&amp;"",IF($C30="No",VLOOKUP($A30,Questions!$A$2:$X$333,16,0)&amp;"",VLOOKUP($A30,Questions!$A$2:$X$333,15,0)&amp;"")))</f>
        <v>Based on the response to REQU-01 on the "START HERE" tab, this question does not apply to this product or service. </v>
      </c>
      <c r="F30" s="49" t="str">
        <f aca="false">VLOOKUP($A30,'Institution Evaluation'!$A$56:$F$346,6,0)&amp;""</f>
        <v/>
      </c>
      <c r="I30" s="5"/>
      <c r="J30" s="5"/>
    </row>
    <row r="31" s="1" customFormat="true" ht="55.5" hidden="false" customHeight="true" outlineLevel="0" collapsed="false">
      <c r="A31" s="35" t="s">
        <v>127</v>
      </c>
      <c r="B31" s="45" t="str">
        <f aca="false">VLOOKUP($A31,Questions!$A$2:$X$333,2,0)</f>
        <v>For customers not using SSO, does your application support integration with other authentication and authorization systems?</v>
      </c>
      <c r="C31" s="46"/>
      <c r="D31" s="47"/>
      <c r="E31" s="48" t="str">
        <f aca="false">IF($C$18="No",'Auto Responses'!$A$3,IF($C31="Yes",VLOOKUP($A31,Questions!$A$2:$X$333,17,0)&amp;"",IF($C31="No",VLOOKUP($A31,Questions!$A$2:$X$333,16,0)&amp;"",VLOOKUP($A31,Questions!$A$2:$X$333,15,0)&amp;"")))</f>
        <v>Based on the response to REQU-01 on the "START HERE" tab, this question does not apply to this product or service. </v>
      </c>
      <c r="F31" s="49" t="str">
        <f aca="false">VLOOKUP($A31,'Institution Evaluation'!$A$56:$F$346,6,0)&amp;""</f>
        <v/>
      </c>
      <c r="I31" s="5"/>
      <c r="J31" s="5"/>
    </row>
    <row r="32" s="1" customFormat="true" ht="51.75" hidden="false" customHeight="true" outlineLevel="0" collapsed="false">
      <c r="A32" s="35" t="s">
        <v>128</v>
      </c>
      <c r="B32" s="45" t="str">
        <f aca="false">VLOOKUP($A32,Questions!$A$2:$X$333,2,0)</f>
        <v>Do you allow the customer to specify attribute mappings for any needed information beyond a user identifier? (e.g., Reference eduPerson, ePPA/ePPN/ePE)</v>
      </c>
      <c r="C32" s="46"/>
      <c r="D32" s="47"/>
      <c r="E32" s="48" t="str">
        <f aca="false">IF($C$18="No",'Auto Responses'!$A$3,IF($C32="Yes",VLOOKUP($A32,Questions!$A$2:$X$333,17,0)&amp;"",IF($C32="No",VLOOKUP($A32,Questions!$A$2:$X$333,16,0)&amp;"",VLOOKUP($A32,Questions!$A$2:$X$333,15,0)&amp;"")))</f>
        <v>Based on the response to REQU-01 on the "START HERE" tab, this question does not apply to this product or service. </v>
      </c>
      <c r="F32" s="49" t="str">
        <f aca="false">VLOOKUP($A32,'Institution Evaluation'!$A$56:$F$346,6,0)&amp;""</f>
        <v/>
      </c>
      <c r="I32" s="5"/>
      <c r="J32" s="5"/>
    </row>
    <row r="33" s="1" customFormat="true" ht="60" hidden="false" customHeight="true" outlineLevel="0" collapsed="false">
      <c r="A33" s="35" t="s">
        <v>129</v>
      </c>
      <c r="B33" s="45" t="str">
        <f aca="false">VLOOKUP($A33,Questions!$A$2:$X$333,2,0)</f>
        <v>For customers not using SSO, does your application support directory integration for user accounts?</v>
      </c>
      <c r="C33" s="46"/>
      <c r="D33" s="47"/>
      <c r="E33" s="48" t="str">
        <f aca="false">IF($C$18="No",'Auto Responses'!$A$3,IF($C33="Yes",VLOOKUP($A33,Questions!$A$2:$X$333,17,0)&amp;"",IF($C33="No",VLOOKUP($A33,Questions!$A$2:$X$333,16,0)&amp;"",VLOOKUP($A33,Questions!$A$2:$X$333,15,0)&amp;"")))</f>
        <v>Based on the response to REQU-01 on the "START HERE" tab, this question does not apply to this product or service. </v>
      </c>
      <c r="F33" s="49" t="str">
        <f aca="false">VLOOKUP($A33,'Institution Evaluation'!$A$56:$F$346,6,0)&amp;""</f>
        <v/>
      </c>
      <c r="I33" s="5"/>
      <c r="J33" s="5"/>
    </row>
    <row r="34" s="1" customFormat="true" ht="75" hidden="false" customHeight="true" outlineLevel="0" collapsed="false">
      <c r="A34" s="35" t="s">
        <v>130</v>
      </c>
      <c r="B34" s="45" t="str">
        <f aca="false">VLOOKUP($A34,Questions!$A$2:$X$333,2,0)</f>
        <v>Does your solution support any of the following web SSO standards: SAML2 (with redirect flow), OIDC, CAS, or other?</v>
      </c>
      <c r="C34" s="46"/>
      <c r="D34" s="47"/>
      <c r="E34" s="48" t="str">
        <f aca="false">IF($C$18="No",'Auto Responses'!$A$3,IF($C34="Yes",VLOOKUP($A34,Questions!$A$2:$X$333,17,0)&amp;"",IF($C34="No",VLOOKUP($A34,Questions!$A$2:$X$333,16,0)&amp;"",VLOOKUP($A34,Questions!$A$2:$X$333,15,0)&amp;"")))</f>
        <v>Based on the response to REQU-01 on the "START HERE" tab, this question does not apply to this product or service. </v>
      </c>
      <c r="F34" s="49" t="str">
        <f aca="false">VLOOKUP($A34,'Institution Evaluation'!$A$56:$F$346,6,0)&amp;""</f>
        <v/>
      </c>
      <c r="I34" s="5"/>
      <c r="J34" s="5"/>
    </row>
    <row r="35" s="1" customFormat="true" ht="70.5" hidden="false" customHeight="true" outlineLevel="0" collapsed="false">
      <c r="A35" s="35" t="s">
        <v>131</v>
      </c>
      <c r="B35" s="45" t="str">
        <f aca="false">VLOOKUP($A35,Questions!$A$2:$X$333,2,0)</f>
        <v>Do you support differentiation between email address and user identifier?</v>
      </c>
      <c r="C35" s="46"/>
      <c r="D35" s="47"/>
      <c r="E35" s="48" t="str">
        <f aca="false">IF($C$18="No",'Auto Responses'!$A$3,IF($C35="Yes",VLOOKUP($A35,Questions!$A$2:$X$333,17,0)&amp;"",IF($C35="No",VLOOKUP($A35,Questions!$A$2:$X$333,16,0)&amp;"",VLOOKUP($A35,Questions!$A$2:$X$333,15,0)&amp;"")))</f>
        <v>Based on the response to REQU-01 on the "START HERE" tab, this question does not apply to this product or service. </v>
      </c>
      <c r="F35" s="49" t="str">
        <f aca="false">VLOOKUP($A35,'Institution Evaluation'!$A$56:$F$346,6,0)&amp;""</f>
        <v/>
      </c>
      <c r="I35" s="5"/>
      <c r="J35" s="5"/>
    </row>
    <row r="36" s="1" customFormat="true" ht="57.75" hidden="false" customHeight="true" outlineLevel="0" collapsed="false">
      <c r="A36" s="35" t="s">
        <v>132</v>
      </c>
      <c r="B36" s="45" t="str">
        <f aca="false">VLOOKUP($A36,Questions!$A$2:$X$333,2,0)</f>
        <v>For customers not using SSO, does your application and/or user frontend/portal support multifactor authentication (e.g., Duo, Google Authenticator, OTP, etc.)?</v>
      </c>
      <c r="C36" s="46"/>
      <c r="D36" s="47"/>
      <c r="E36" s="48" t="str">
        <f aca="false">IF($C$18="No",'Auto Responses'!$A$3,IF($C$20="No",'Auto Responses'!$A$28,IF($C36="Yes",VLOOKUP($A36,Questions!$A$2:$X$333,17,0)&amp;"",IF($C36="No",VLOOKUP($A36,Questions!$A$2:$X$333,16,0)&amp;"",VLOOKUP($A36,Questions!$A$2:$X$333,15,0)&amp;""))))</f>
        <v>Based on the response to REQU-01 on the "START HERE" tab, this question does not apply to this product or service. </v>
      </c>
      <c r="F36" s="49" t="str">
        <f aca="false">VLOOKUP($A36,'Institution Evaluation'!$A$56:$F$346,6,0)&amp;""</f>
        <v/>
      </c>
      <c r="I36" s="5"/>
      <c r="J36" s="5"/>
    </row>
    <row r="37" s="1" customFormat="true" ht="99" hidden="false" customHeight="true" outlineLevel="0" collapsed="false">
      <c r="A37" s="35" t="s">
        <v>133</v>
      </c>
      <c r="B37" s="45" t="str">
        <f aca="false">VLOOKUP($A37,Questions!$A$2:$X$333,2,0)</f>
        <v>Does your application automatically lock the session or log out an account after a period of inactivity?</v>
      </c>
      <c r="C37" s="46"/>
      <c r="D37" s="47"/>
      <c r="E37" s="48" t="str">
        <f aca="false">IF($C$18="No",'Auto Responses'!$A$3,IF($C37="Yes",VLOOKUP($A37,Questions!$A$2:$X$333,17,0)&amp;"",IF($C37="No",VLOOKUP($A37,Questions!$A$2:$X$333,16,0)&amp;"",VLOOKUP($A37,Questions!$A$2:$X$333,15,0)&amp;"")))</f>
        <v>Based on the response to REQU-01 on the "START HERE" tab, this question does not apply to this product or service. </v>
      </c>
      <c r="F37" s="49" t="str">
        <f aca="false">VLOOKUP($A37,'Institution Evaluation'!$A$56:$F$346,6,0)&amp;""</f>
        <v/>
      </c>
      <c r="G37" s="51" t="s">
        <v>37</v>
      </c>
      <c r="I37" s="5"/>
      <c r="J37" s="5"/>
    </row>
    <row r="38" s="1" customFormat="true" ht="36.75" hidden="false" customHeight="true" outlineLevel="0" collapsed="false">
      <c r="A38" s="31" t="str">
        <f aca="false">VLOOKUP(LEFT($A39,4),'Auto Responses'!$N$4:$O$38,2,0)&amp;""</f>
        <v> Data</v>
      </c>
      <c r="B38" s="42"/>
      <c r="C38" s="19" t="s">
        <v>21</v>
      </c>
      <c r="D38" s="19" t="s">
        <v>22</v>
      </c>
      <c r="E38" s="43" t="s">
        <v>23</v>
      </c>
      <c r="F38" s="52" t="s">
        <v>24</v>
      </c>
      <c r="I38" s="5"/>
      <c r="J38" s="5"/>
    </row>
    <row r="39" s="1" customFormat="true" ht="72" hidden="false" customHeight="true" outlineLevel="0" collapsed="false">
      <c r="A39" s="35" t="s">
        <v>134</v>
      </c>
      <c r="B39" s="45" t="str">
        <f aca="false">VLOOKUP($A39,Questions!$A$2:$X$333,2,0)</f>
        <v>Will the institution's data be stored on any devices (database servers, file servers, SAN, NAS, etc.) configured with non-RFC 1918/4193 (i.e., publicly routable) IP addresses?*</v>
      </c>
      <c r="C39" s="46"/>
      <c r="D39" s="47"/>
      <c r="E39" s="48" t="str">
        <f aca="false">IF($C$18="No",'Auto Responses'!$A$3,IF($C39="Yes",VLOOKUP($A39,Questions!$A$2:$X$333,17,0)&amp;"",IF($C39="No",VLOOKUP($A39,Questions!$A$2:$X$333,16,0)&amp;"",VLOOKUP($A39,Questions!$A$2:$X$333,15,0)&amp;"")))</f>
        <v>Based on the response to REQU-01 on the "START HERE" tab, this question does not apply to this product or service. </v>
      </c>
      <c r="F39" s="49" t="str">
        <f aca="false">VLOOKUP($A39,'Institution Evaluation'!$A$56:$F$346,6,0)&amp;""</f>
        <v/>
      </c>
      <c r="I39" s="5"/>
      <c r="J39" s="5"/>
    </row>
    <row r="40" s="1" customFormat="true" ht="61.5" hidden="false" customHeight="true" outlineLevel="0" collapsed="false">
      <c r="A40" s="35" t="s">
        <v>135</v>
      </c>
      <c r="B40" s="45" t="str">
        <f aca="false">VLOOKUP($A40,Questions!$A$2:$X$333,2,0)</f>
        <v>Is the transport of sensitive data encrypted using security protocols/algorithms (e.g., system-to-client)?*</v>
      </c>
      <c r="C40" s="46"/>
      <c r="D40" s="47"/>
      <c r="E40" s="48" t="str">
        <f aca="false">IF($C$18="No",'Auto Responses'!$A$3,IF($C40="Yes",VLOOKUP($A40,Questions!$A$2:$X$333,17,0)&amp;"",IF($C40="No",VLOOKUP($A40,Questions!$A$2:$X$333,16,0)&amp;"",VLOOKUP($A40,Questions!$A$2:$X$333,15,0)&amp;"")))</f>
        <v>Based on the response to REQU-01 on the "START HERE" tab, this question does not apply to this product or service. </v>
      </c>
      <c r="F40" s="49" t="str">
        <f aca="false">VLOOKUP($A40,'Institution Evaluation'!$A$56:$F$346,6,0)&amp;""</f>
        <v/>
      </c>
      <c r="I40" s="5"/>
      <c r="J40" s="5"/>
    </row>
    <row r="41" s="1" customFormat="true" ht="52.5" hidden="false" customHeight="true" outlineLevel="0" collapsed="false">
      <c r="A41" s="35" t="s">
        <v>136</v>
      </c>
      <c r="B41" s="45" t="str">
        <f aca="false">VLOOKUP($A41,Questions!$A$2:$X$333,2,0)</f>
        <v>Is the storage of sensitive data encrypted using security protocols/algorithms (e.g., disk encryption, at-rest, files, and within a running database)?*</v>
      </c>
      <c r="C41" s="46"/>
      <c r="D41" s="47"/>
      <c r="E41" s="48" t="str">
        <f aca="false">IF($C$18="No",'Auto Responses'!$A$3,IF($C41="Yes",VLOOKUP($A41,Questions!$A$2:$X$333,17,0)&amp;"",IF($C41="No",VLOOKUP($A41,Questions!$A$2:$X$333,16,0)&amp;"",VLOOKUP($A41,Questions!$A$2:$X$333,15,0)&amp;"")))</f>
        <v>Based on the response to REQU-01 on the "START HERE" tab, this question does not apply to this product or service. </v>
      </c>
      <c r="F41" s="49" t="str">
        <f aca="false">VLOOKUP($A41,'Institution Evaluation'!$A$56:$F$346,6,0)&amp;""</f>
        <v/>
      </c>
      <c r="I41" s="5"/>
      <c r="J41" s="5"/>
    </row>
    <row r="42" s="1" customFormat="true" ht="51.75" hidden="false" customHeight="true" outlineLevel="0" collapsed="false">
      <c r="A42" s="35" t="s">
        <v>137</v>
      </c>
      <c r="B42" s="45" t="str">
        <f aca="false">VLOOKUP($A42,Questions!$A$2:$X$333,2,0)</f>
        <v>Do all cryptographic modules in use in your solution conform to the Federal Information Processing Standards (FIPS PUB 140-2 or 140-3)?*</v>
      </c>
      <c r="C42" s="46"/>
      <c r="D42" s="47"/>
      <c r="E42" s="48" t="str">
        <f aca="false">IF($C$18="No",'Auto Responses'!$A$3,IF($C42="Yes",VLOOKUP($A42,Questions!$A$2:$X$333,17,0)&amp;"",IF($C42="No",VLOOKUP($A42,Questions!$A$2:$X$333,16,0)&amp;"",VLOOKUP($A42,Questions!$A$2:$X$333,15,0)&amp;"")))</f>
        <v>Based on the response to REQU-01 on the "START HERE" tab, this question does not apply to this product or service. </v>
      </c>
      <c r="F42" s="49" t="str">
        <f aca="false">VLOOKUP($A42,'Institution Evaluation'!$A$56:$F$346,6,0)&amp;""</f>
        <v/>
      </c>
      <c r="I42" s="5"/>
      <c r="J42" s="5"/>
    </row>
    <row r="43" s="1" customFormat="true" ht="38.25" hidden="false" customHeight="true" outlineLevel="0" collapsed="false">
      <c r="A43" s="35" t="s">
        <v>138</v>
      </c>
      <c r="B43" s="45" t="str">
        <f aca="false">VLOOKUP($A43,Questions!$A$2:$X$333,2,0)</f>
        <v>Will the institution's data be available within the system for a period of time at the completion of this contract?*</v>
      </c>
      <c r="C43" s="46"/>
      <c r="D43" s="47"/>
      <c r="E43" s="48" t="str">
        <f aca="false">IF($C$18="No",'Auto Responses'!$A$3,IF($C43="Yes",VLOOKUP($A43,Questions!$A$2:$X$333,17,0)&amp;"",IF($C43="No",VLOOKUP($A43,Questions!$A$2:$X$333,16,0)&amp;"",VLOOKUP($A43,Questions!$A$2:$X$333,15,0)&amp;"")))</f>
        <v>Based on the response to REQU-01 on the "START HERE" tab, this question does not apply to this product or service. </v>
      </c>
      <c r="F43" s="49" t="str">
        <f aca="false">VLOOKUP($A43,'Institution Evaluation'!$A$56:$F$346,6,0)&amp;""</f>
        <v/>
      </c>
      <c r="I43" s="5"/>
      <c r="J43" s="5"/>
    </row>
    <row r="44" s="1" customFormat="true" ht="38.25" hidden="false" customHeight="true" outlineLevel="0" collapsed="false">
      <c r="A44" s="35" t="s">
        <v>139</v>
      </c>
      <c r="B44" s="45" t="str">
        <f aca="false">VLOOKUP($A44,Questions!$A$2:$X$333,2,0)</f>
        <v>Are ownership rights to all data, inputs, outputs, and metadata retained even through a provider acquisition or bankruptcy event?*</v>
      </c>
      <c r="C44" s="46"/>
      <c r="D44" s="47"/>
      <c r="E44" s="48" t="str">
        <f aca="false">IF($C$18="No",'Auto Responses'!$A$3,IF($C44="Yes",VLOOKUP($A44,Questions!$A$2:$X$333,17,0)&amp;"",IF($C44="No",VLOOKUP($A44,Questions!$A$2:$X$333,16,0)&amp;"",VLOOKUP($A44,Questions!$A$2:$X$333,15,0)&amp;"")))</f>
        <v>Based on the response to REQU-01 on the "START HERE" tab, this question does not apply to this product or service. </v>
      </c>
      <c r="F44" s="49" t="str">
        <f aca="false">VLOOKUP($A44,'Institution Evaluation'!$A$56:$F$346,6,0)&amp;""</f>
        <v/>
      </c>
      <c r="I44" s="5"/>
      <c r="J44" s="5"/>
    </row>
    <row r="45" s="1" customFormat="true" ht="38.25" hidden="false" customHeight="true" outlineLevel="0" collapsed="false">
      <c r="A45" s="35" t="s">
        <v>140</v>
      </c>
      <c r="B45" s="45" t="str">
        <f aca="false">VLOOKUP($A45,Questions!$A$2:$X$333,2,0)</f>
        <v>Do backups containing the institution's data ever leave the institution's data zone either physically or via network routing?*</v>
      </c>
      <c r="C45" s="46"/>
      <c r="D45" s="47"/>
      <c r="E45" s="48" t="str">
        <f aca="false">IF($C$18="No",'Auto Responses'!$A$3,IF($C45="Yes",VLOOKUP($A45,Questions!$A$2:$X$333,17,0)&amp;"",IF($C45="No",VLOOKUP($A45,Questions!$A$2:$X$333,16,0)&amp;"",VLOOKUP($A45,Questions!$A$2:$X$333,15,0)&amp;"")))</f>
        <v>Based on the response to REQU-01 on the "START HERE" tab, this question does not apply to this product or service. </v>
      </c>
      <c r="F45" s="49" t="str">
        <f aca="false">VLOOKUP($A45,'Institution Evaluation'!$A$56:$F$346,6,0)&amp;""</f>
        <v/>
      </c>
      <c r="I45" s="5"/>
      <c r="J45" s="5"/>
    </row>
    <row r="46" s="1" customFormat="true" ht="38.25" hidden="false" customHeight="true" outlineLevel="0" collapsed="false">
      <c r="A46" s="35" t="s">
        <v>141</v>
      </c>
      <c r="B46" s="45" t="str">
        <f aca="false">VLOOKUP($A46,Questions!$A$2:$X$333,2,0)</f>
        <v>Is media used for long-term retention of business data and archival purposes stored in a secure, environmentally protected area?*</v>
      </c>
      <c r="C46" s="46"/>
      <c r="D46" s="47"/>
      <c r="E46" s="48" t="str">
        <f aca="false">IF($C$18="No",'Auto Responses'!$A$3,IF($C46="Yes",VLOOKUP($A46,Questions!$A$2:$X$333,17,0)&amp;"",IF($C46="No",VLOOKUP($A46,Questions!$A$2:$X$333,16,0)&amp;"",VLOOKUP($A46,Questions!$A$2:$X$333,15,0)&amp;"")))</f>
        <v>Based on the response to REQU-01 on the "START HERE" tab, this question does not apply to this product or service. </v>
      </c>
      <c r="F46" s="49" t="str">
        <f aca="false">VLOOKUP($A46,'Institution Evaluation'!$A$56:$F$346,6,0)&amp;""</f>
        <v/>
      </c>
      <c r="I46" s="5"/>
      <c r="J46" s="5"/>
    </row>
    <row r="47" s="1" customFormat="true" ht="48" hidden="false" customHeight="true" outlineLevel="0" collapsed="false">
      <c r="A47" s="35" t="s">
        <v>142</v>
      </c>
      <c r="B47" s="45" t="str">
        <f aca="false">VLOOKUP($A47,Questions!$A$2:$X$333,2,0)</f>
        <v>At the completion of this contract, will data be returned to the institution and/or deleted from all your systems and archives?</v>
      </c>
      <c r="C47" s="46"/>
      <c r="D47" s="47"/>
      <c r="E47" s="48" t="str">
        <f aca="false">IF($C$18="No",'Auto Responses'!$A$3,IF($C47="Yes",VLOOKUP($A47,Questions!$A$2:$X$333,17,0)&amp;"",IF($C47="No",VLOOKUP($A47,Questions!$A$2:$X$333,16,0)&amp;"",VLOOKUP($A47,Questions!$A$2:$X$333,15,0)&amp;"")))</f>
        <v>Based on the response to REQU-01 on the "START HERE" tab, this question does not apply to this product or service. </v>
      </c>
      <c r="F47" s="49" t="str">
        <f aca="false">VLOOKUP($A47,'Institution Evaluation'!$A$56:$F$346,6,0)&amp;""</f>
        <v/>
      </c>
      <c r="I47" s="5"/>
      <c r="J47" s="5"/>
    </row>
    <row r="48" s="1" customFormat="true" ht="38.25" hidden="false" customHeight="true" outlineLevel="0" collapsed="false">
      <c r="A48" s="35" t="s">
        <v>143</v>
      </c>
      <c r="B48" s="45" t="str">
        <f aca="false">VLOOKUP($A48,Questions!$A$2:$X$333,2,0)</f>
        <v>Can the institution extract a full or partial backup of data?</v>
      </c>
      <c r="C48" s="46"/>
      <c r="D48" s="47"/>
      <c r="E48" s="48" t="str">
        <f aca="false">IF($C$18="No",'Auto Responses'!$A$3,IF($C48="Yes",VLOOKUP($A48,Questions!$A$2:$X$333,17,0)&amp;"",IF($C48="No",VLOOKUP($A48,Questions!$A$2:$X$333,16,0)&amp;"",VLOOKUP($A48,Questions!$A$2:$X$333,15,0)&amp;"")))</f>
        <v>Based on the response to REQU-01 on the "START HERE" tab, this question does not apply to this product or service. </v>
      </c>
      <c r="F48" s="49" t="str">
        <f aca="false">VLOOKUP($A48,'Institution Evaluation'!$A$56:$F$346,6,0)&amp;""</f>
        <v/>
      </c>
      <c r="I48" s="5"/>
      <c r="J48" s="5"/>
    </row>
    <row r="49" s="1" customFormat="true" ht="54" hidden="false" customHeight="true" outlineLevel="0" collapsed="false">
      <c r="A49" s="35" t="s">
        <v>144</v>
      </c>
      <c r="B49" s="45" t="str">
        <f aca="false">VLOOKUP($A49,Questions!$A$2:$X$333,2,0)</f>
        <v>Do current backups include all operating system software, utilities, security software, application software, and data files necessary for recovery?</v>
      </c>
      <c r="C49" s="46"/>
      <c r="D49" s="47"/>
      <c r="E49" s="48" t="str">
        <f aca="false">IF($C$18="No",'Auto Responses'!$A$3,IF($C49="Yes",VLOOKUP($A49,Questions!$A$2:$X$333,17,0)&amp;"",IF($C49="No",VLOOKUP($A49,Questions!$A$2:$X$333,16,0)&amp;"",VLOOKUP($A49,Questions!$A$2:$X$333,15,0)&amp;"")))</f>
        <v>Based on the response to REQU-01 on the "START HERE" tab, this question does not apply to this product or service. </v>
      </c>
      <c r="F49" s="49" t="str">
        <f aca="false">VLOOKUP($A49,'Institution Evaluation'!$A$56:$F$346,6,0)&amp;""</f>
        <v/>
      </c>
      <c r="I49" s="5"/>
      <c r="J49" s="5"/>
    </row>
    <row r="50" s="1" customFormat="true" ht="53.25" hidden="false" customHeight="true" outlineLevel="0" collapsed="false">
      <c r="A50" s="35" t="s">
        <v>145</v>
      </c>
      <c r="B50" s="45" t="str">
        <f aca="false">VLOOKUP($A50,Questions!$A$2:$X$333,2,0)</f>
        <v>Are you performing off-site backups (i.e., digitally moved off site)?</v>
      </c>
      <c r="C50" s="46"/>
      <c r="D50" s="47"/>
      <c r="E50" s="48" t="str">
        <f aca="false">IF($C$18="No",'Auto Responses'!$A$3,IF($C50="Yes",VLOOKUP($A50,Questions!$A$2:$X$333,17,0)&amp;"",IF($C50="No",VLOOKUP($A50,Questions!$A$2:$X$333,16,0)&amp;"",VLOOKUP($A50,Questions!$A$2:$X$333,15,0)&amp;"")))</f>
        <v>Based on the response to REQU-01 on the "START HERE" tab, this question does not apply to this product or service. </v>
      </c>
      <c r="F50" s="49" t="str">
        <f aca="false">VLOOKUP($A50,'Institution Evaluation'!$A$56:$F$346,6,0)&amp;""</f>
        <v/>
      </c>
      <c r="I50" s="5"/>
      <c r="J50" s="5"/>
    </row>
    <row r="51" s="1" customFormat="true" ht="51.75" hidden="false" customHeight="true" outlineLevel="0" collapsed="false">
      <c r="A51" s="35" t="s">
        <v>146</v>
      </c>
      <c r="B51" s="45" t="str">
        <f aca="false">VLOOKUP($A51,Questions!$A$2:$X$333,2,0)</f>
        <v>Are physical backups taken off-site (i.e., physically moved off site)?</v>
      </c>
      <c r="C51" s="46"/>
      <c r="D51" s="47"/>
      <c r="E51" s="48" t="str">
        <f aca="false">IF($C$18="No",'Auto Responses'!$A$3,IF($C51="Yes",VLOOKUP($A51,Questions!$A$2:$X$333,17,0)&amp;"",IF($C51="No",VLOOKUP($A51,Questions!$A$2:$X$333,16,0)&amp;"",VLOOKUP($A51,Questions!$A$2:$X$333,15,0)&amp;"")))</f>
        <v>Based on the response to REQU-01 on the "START HERE" tab, this question does not apply to this product or service. </v>
      </c>
      <c r="F51" s="49" t="str">
        <f aca="false">VLOOKUP($A51,'Institution Evaluation'!$A$56:$F$346,6,0)&amp;""</f>
        <v/>
      </c>
      <c r="I51" s="5"/>
      <c r="J51" s="5"/>
    </row>
    <row r="52" s="1" customFormat="true" ht="75.75" hidden="false" customHeight="true" outlineLevel="0" collapsed="false">
      <c r="A52" s="35" t="s">
        <v>147</v>
      </c>
      <c r="B52" s="45" t="str">
        <f aca="false">VLOOKUP($A52,Questions!$A$2:$X$333,2,0)</f>
        <v>Are data backups encrypted?</v>
      </c>
      <c r="C52" s="46"/>
      <c r="D52" s="47"/>
      <c r="E52" s="48" t="str">
        <f aca="false">IF($C$18="No",'Auto Responses'!$A$3,IF($C52="Yes",VLOOKUP($A52,Questions!$A$2:$X$333,17,0)&amp;"",IF($C52="No",VLOOKUP($A52,Questions!$A$2:$X$333,16,0)&amp;"",VLOOKUP($A52,Questions!$A$2:$X$333,15,0)&amp;"")))</f>
        <v>Based on the response to REQU-01 on the "START HERE" tab, this question does not apply to this product or service. </v>
      </c>
      <c r="F52" s="49" t="str">
        <f aca="false">VLOOKUP($A52,'Institution Evaluation'!$A$56:$F$346,6,0)&amp;""</f>
        <v/>
      </c>
      <c r="I52" s="5"/>
      <c r="J52" s="5"/>
    </row>
    <row r="53" s="1" customFormat="true" ht="66" hidden="false" customHeight="true" outlineLevel="0" collapsed="false">
      <c r="A53" s="35" t="s">
        <v>148</v>
      </c>
      <c r="B53" s="45" t="str">
        <f aca="false">VLOOKUP($A53,Questions!$A$2:$X$333,2,0)</f>
        <v>Do you have a media handling process that is documented and currently implemented that meets established business needs and regulatory requirements, including end-of-life, repurposing, and data-sanitization procedures?</v>
      </c>
      <c r="C53" s="46"/>
      <c r="D53" s="47"/>
      <c r="E53" s="48" t="str">
        <f aca="false">IF($C$18="No",'Auto Responses'!$A$3,IF($C53="Yes",VLOOKUP($A53,Questions!$A$2:$X$333,17,0)&amp;"",IF($C53="No",VLOOKUP($A53,Questions!$A$2:$X$333,16,0)&amp;"",VLOOKUP($A53,Questions!$A$2:$X$333,15,0)&amp;"")))</f>
        <v>Based on the response to REQU-01 on the "START HERE" tab, this question does not apply to this product or service. </v>
      </c>
      <c r="F53" s="49" t="str">
        <f aca="false">VLOOKUP($A53,'Institution Evaluation'!$A$56:$F$346,6,0)&amp;""</f>
        <v/>
      </c>
      <c r="I53" s="5"/>
      <c r="J53" s="5"/>
    </row>
    <row r="54" s="1" customFormat="true" ht="44.25" hidden="false" customHeight="true" outlineLevel="0" collapsed="false">
      <c r="A54" s="35" t="s">
        <v>149</v>
      </c>
      <c r="B54" s="45" t="str">
        <f aca="false">VLOOKUP($A54,Questions!$A$2:$X$333,2,0)</f>
        <v>Does the process described in DATA-15 adhere to DoD 5220.22-M and/or NIST SP 800-88 standards?</v>
      </c>
      <c r="C54" s="46"/>
      <c r="D54" s="47"/>
      <c r="E54" s="48" t="str">
        <f aca="false">IF($C$18="No",'Auto Responses'!$A$3,IF($C54="Yes",VLOOKUP($A54,Questions!$A$2:$X$333,17,0)&amp;"",IF($C54="No",VLOOKUP($A54,Questions!$A$2:$X$333,16,0)&amp;"",VLOOKUP($A54,Questions!$A$2:$X$333,15,0)&amp;"")))</f>
        <v>Based on the response to REQU-01 on the "START HERE" tab, this question does not apply to this product or service. </v>
      </c>
      <c r="F54" s="49" t="str">
        <f aca="false">VLOOKUP($A54,'Institution Evaluation'!$A$56:$F$346,6,0)&amp;""</f>
        <v/>
      </c>
      <c r="I54" s="5"/>
      <c r="J54" s="5"/>
    </row>
    <row r="55" s="1" customFormat="true" ht="46.5" hidden="false" customHeight="true" outlineLevel="0" collapsed="false">
      <c r="A55" s="35" t="s">
        <v>150</v>
      </c>
      <c r="B55" s="45" t="str">
        <f aca="false">VLOOKUP($A55,Questions!$A$2:$X$333,2,0)</f>
        <v>Does your staff (or third party) have access to institutional data (e.g., financial, PHI, or other sensitive information) through any means?</v>
      </c>
      <c r="C55" s="46"/>
      <c r="D55" s="47"/>
      <c r="E55" s="48" t="str">
        <f aca="false">IF($C$18="No",'Auto Responses'!$A$3,IF($C55="Yes",VLOOKUP($A55,Questions!$A$2:$X$333,17,0)&amp;"",IF($C55="No",VLOOKUP($A55,Questions!$A$2:$X$333,16,0)&amp;"",VLOOKUP($A55,Questions!$A$2:$X$333,15,0)&amp;"")))</f>
        <v>Based on the response to REQU-01 on the "START HERE" tab, this question does not apply to this product or service. </v>
      </c>
      <c r="F55" s="49" t="str">
        <f aca="false">VLOOKUP($A55,'Institution Evaluation'!$A$56:$F$346,6,0)&amp;""</f>
        <v/>
      </c>
      <c r="I55" s="5"/>
      <c r="J55" s="5"/>
    </row>
    <row r="56" s="1" customFormat="true" ht="67.5" hidden="false" customHeight="true" outlineLevel="0" collapsed="false">
      <c r="A56" s="35" t="s">
        <v>151</v>
      </c>
      <c r="B56" s="45" t="str">
        <f aca="false">VLOOKUP($A56,Questions!$A$2:$X$333,2,0)</f>
        <v>Do you have a documented and currently implemented strategy for securing employee workstations when they work remotely (i.e., not in a trusted computing environment)?</v>
      </c>
      <c r="C56" s="46"/>
      <c r="D56" s="47"/>
      <c r="E56" s="48" t="str">
        <f aca="false">IF($C$18="No",'Auto Responses'!$A$3,IF($C56="Yes",VLOOKUP($A56,Questions!$A$2:$X$333,17,0)&amp;"",IF($C56="No",VLOOKUP($A56,Questions!$A$2:$X$333,16,0)&amp;"",VLOOKUP($A56,Questions!$A$2:$X$333,15,0)&amp;"")))</f>
        <v>Based on the response to REQU-01 on the "START HERE" tab, this question does not apply to this product or service. </v>
      </c>
      <c r="F56" s="49" t="str">
        <f aca="false">VLOOKUP($A56,'Institution Evaluation'!$A$56:$F$346,6,0)&amp;""</f>
        <v/>
      </c>
      <c r="I56" s="5"/>
      <c r="J56" s="5"/>
    </row>
    <row r="57" s="1" customFormat="true" ht="68.25" hidden="false" customHeight="true" outlineLevel="0" collapsed="false">
      <c r="A57" s="35" t="s">
        <v>152</v>
      </c>
      <c r="B57" s="45" t="str">
        <f aca="false">VLOOKUP($A57,Questions!$A$2:$X$333,2,0)</f>
        <v>Does the environment provide for dedicated single-tenant capabilities? If not, describe how your solution or environment separates data from different customers (e.g., logically, physically, single tenancy, multi-tenancy).</v>
      </c>
      <c r="C57" s="46"/>
      <c r="D57" s="47"/>
      <c r="E57" s="48" t="str">
        <f aca="false">IF($C$18="No",'Auto Responses'!$A$3,IF($C57="Yes",VLOOKUP($A57,Questions!$A$2:$X$333,17,0)&amp;"",IF($C57="No",VLOOKUP($A57,Questions!$A$2:$X$333,16,0)&amp;"",VLOOKUP($A57,Questions!$A$2:$X$333,15,0)&amp;"")))</f>
        <v>Based on the response to REQU-01 on the "START HERE" tab, this question does not apply to this product or service. </v>
      </c>
      <c r="F57" s="49" t="str">
        <f aca="false">VLOOKUP($A57,'Institution Evaluation'!$A$56:$F$346,6,0)&amp;""</f>
        <v/>
      </c>
      <c r="I57" s="5"/>
      <c r="J57" s="5"/>
    </row>
    <row r="58" customFormat="false" ht="55.5" hidden="false" customHeight="true" outlineLevel="0" collapsed="false">
      <c r="A58" s="35" t="s">
        <v>153</v>
      </c>
      <c r="B58" s="45" t="str">
        <f aca="false">VLOOKUP($A58,Questions!$A$2:$X$333,2,0)</f>
        <v>Are ownership rights to all data, inputs, outputs, and metadata retained by the institution?</v>
      </c>
      <c r="C58" s="46"/>
      <c r="D58" s="47"/>
      <c r="E58" s="48" t="str">
        <f aca="false">IF($C$18="No",'Auto Responses'!$A$3,IF($C58="Yes",VLOOKUP($A58,Questions!$A$2:$X$333,17,0)&amp;"",IF($C58="No",VLOOKUP($A58,Questions!$A$2:$X$333,16,0)&amp;"",VLOOKUP($A58,Questions!$A$2:$X$333,15,0)&amp;"")))</f>
        <v>Based on the response to REQU-01 on the "START HERE" tab, this question does not apply to this product or service. </v>
      </c>
      <c r="F58" s="49" t="str">
        <f aca="false">VLOOKUP($A58,'Institution Evaluation'!$A$56:$F$346,6,0)&amp;""</f>
        <v/>
      </c>
    </row>
    <row r="59" customFormat="false" ht="45.75" hidden="false" customHeight="true" outlineLevel="0" collapsed="false">
      <c r="A59" s="35" t="s">
        <v>154</v>
      </c>
      <c r="B59" s="45" t="str">
        <f aca="false">VLOOKUP($A59,Questions!$A$2:$X$333,2,0)</f>
        <v>In the event of imminent bankruptcy, closing of business, or retirement of service, will you provide 90 days for customers to get their data out of the system and migrate applications?</v>
      </c>
      <c r="C59" s="46"/>
      <c r="D59" s="47"/>
      <c r="E59" s="48" t="str">
        <f aca="false">IF($C$18="No",'Auto Responses'!$A$3,IF($C59="Yes",VLOOKUP($A59,Questions!$A$2:$X$333,17,0)&amp;"",IF($C59="No",VLOOKUP($A59,Questions!$A$2:$X$333,16,0)&amp;"",VLOOKUP($A59,Questions!$A$2:$X$333,15,0)&amp;"")))</f>
        <v>Based on the response to REQU-01 on the "START HERE" tab, this question does not apply to this product or service. </v>
      </c>
      <c r="F59" s="49" t="str">
        <f aca="false">VLOOKUP($A59,'Institution Evaluation'!$A$56:$F$346,6,0)&amp;""</f>
        <v/>
      </c>
    </row>
    <row r="60" customFormat="false" ht="54" hidden="false" customHeight="true" outlineLevel="0" collapsed="false">
      <c r="A60" s="35" t="s">
        <v>155</v>
      </c>
      <c r="B60" s="45" t="str">
        <f aca="false">VLOOKUP($A60,Questions!$A$2:$X$333,2,0)</f>
        <v>Are involatile backup copies made according to predefined schedules and securely stored and protected?</v>
      </c>
      <c r="C60" s="46"/>
      <c r="D60" s="47"/>
      <c r="E60" s="48" t="str">
        <f aca="false">IF($C$18="No",'Auto Responses'!$A$3,IF($C60="Yes",VLOOKUP($A60,Questions!$A$2:$X$333,17,0)&amp;"",IF($C60="No",VLOOKUP($A60,Questions!$A$2:$X$333,16,0)&amp;"",VLOOKUP($A60,Questions!$A$2:$X$333,15,0)&amp;"")))</f>
        <v>Based on the response to REQU-01 on the "START HERE" tab, this question does not apply to this product or service. </v>
      </c>
      <c r="F60" s="49" t="str">
        <f aca="false">VLOOKUP($A60,'Institution Evaluation'!$A$56:$F$346,6,0)&amp;""</f>
        <v/>
      </c>
    </row>
    <row r="61" customFormat="false" ht="76.5" hidden="false" customHeight="true" outlineLevel="0" collapsed="false">
      <c r="A61" s="35" t="s">
        <v>156</v>
      </c>
      <c r="B61" s="45" t="str">
        <f aca="false">VLOOKUP($A61,Questions!$A$2:$X$333,2,0)</f>
        <v>Do you have a cryptographic key management process (generation, exchange, storage, safeguards, use, vetting, and replacement) that is documented and currently implemented, for all system components (e.g., database, system, web, etc.)?</v>
      </c>
      <c r="C61" s="46"/>
      <c r="D61" s="47"/>
      <c r="E61" s="48" t="str">
        <f aca="false">IF($C$18="No",'Auto Responses'!$A$3,IF($C61="Yes",VLOOKUP($A61,Questions!$A$2:$X$333,17,0)&amp;"",IF($C61="No",VLOOKUP($A61,Questions!$A$2:$X$333,16,0)&amp;"",VLOOKUP($A61,Questions!$A$2:$X$333,15,0)&amp;"")))</f>
        <v>Based on the response to REQU-01 on the "START HERE" tab, this question does not apply to this product or service. </v>
      </c>
      <c r="F61" s="49" t="str">
        <f aca="false">VLOOKUP($A61,'Institution Evaluation'!$A$56:$F$346,6,0)&amp;""</f>
        <v/>
      </c>
      <c r="G61" s="51" t="s">
        <v>37</v>
      </c>
    </row>
    <row r="62" customFormat="false" ht="36.75" hidden="false" customHeight="true" outlineLevel="0" collapsed="false">
      <c r="A62" s="61" t="s">
        <v>50</v>
      </c>
      <c r="B62" s="56"/>
      <c r="C62" s="57"/>
      <c r="D62" s="58"/>
      <c r="E62" s="59"/>
      <c r="F62" s="60"/>
      <c r="G62" s="51"/>
    </row>
    <row r="63" customFormat="false" ht="15" hidden="false" customHeight="true" outlineLevel="0" collapsed="false">
      <c r="A63" s="73"/>
    </row>
    <row r="64" customFormat="false" ht="15" hidden="true" customHeight="true" outlineLevel="0" collapsed="false">
      <c r="A64" s="1"/>
    </row>
    <row r="65" customFormat="false" ht="15" hidden="true" customHeight="true" outlineLevel="0" collapsed="false">
      <c r="A65" s="1"/>
      <c r="B65" s="2"/>
      <c r="C65" s="76"/>
      <c r="D65" s="4"/>
      <c r="E65" s="1"/>
      <c r="H65" s="5"/>
      <c r="I65" s="1"/>
      <c r="J65" s="1"/>
    </row>
    <row r="66" customFormat="false" ht="57" hidden="true" customHeight="true" outlineLevel="0" collapsed="false">
      <c r="A66" s="35" t="e">
        <f aca="false">#REF!</f>
        <v>#REF!</v>
      </c>
    </row>
    <row r="67" customFormat="false" ht="42.75" hidden="true" customHeight="true" outlineLevel="0" collapsed="false">
      <c r="A67" s="35" t="e">
        <f aca="false">#REF!</f>
        <v>#REF!</v>
      </c>
    </row>
    <row r="68" customFormat="false" ht="15" hidden="true" customHeight="true" outlineLevel="0" collapsed="false">
      <c r="A68" s="35" t="e">
        <f aca="false">#REF!</f>
        <v>#REF!</v>
      </c>
    </row>
    <row r="69" customFormat="false" ht="15" hidden="true" customHeight="true" outlineLevel="0" collapsed="false">
      <c r="A69" s="35" t="e">
        <f aca="false">#REF!</f>
        <v>#REF!</v>
      </c>
    </row>
    <row r="70" customFormat="false" ht="15" hidden="true" customHeight="true" outlineLevel="0" collapsed="false">
      <c r="A70" s="35" t="e">
        <f aca="false">#REF!</f>
        <v>#REF!</v>
      </c>
    </row>
    <row r="71" customFormat="false" ht="15" hidden="true" customHeight="true" outlineLevel="0" collapsed="false">
      <c r="A71" s="35" t="e">
        <f aca="false">#REF!</f>
        <v>#REF!</v>
      </c>
    </row>
    <row r="72" customFormat="false" ht="15" hidden="true" customHeight="true" outlineLevel="0" collapsed="false">
      <c r="A72" s="35" t="e">
        <f aca="false">#REF!</f>
        <v>#REF!</v>
      </c>
    </row>
    <row r="73" customFormat="false" ht="15" hidden="true" customHeight="true" outlineLevel="0" collapsed="false"/>
    <row r="74" customFormat="false" ht="15" hidden="true" customHeight="true" outlineLevel="0" collapsed="false"/>
    <row r="75" customFormat="false" ht="15" hidden="true" customHeight="true" outlineLevel="0" collapsed="false"/>
    <row r="76" customFormat="false" ht="15" hidden="true" customHeight="true" outlineLevel="0" collapsed="false"/>
    <row r="77" customFormat="false" ht="15" hidden="true" customHeight="true" outlineLevel="0" collapsed="false"/>
    <row r="78" customFormat="false" ht="15" hidden="true" customHeight="true" outlineLevel="0" collapsed="false"/>
    <row r="79" customFormat="false" ht="15" hidden="true" customHeight="true" outlineLevel="0" collapsed="false"/>
    <row r="80" customFormat="false" ht="15" hidden="true" customHeight="true" outlineLevel="0" collapsed="false"/>
    <row r="81" customFormat="false" ht="15" hidden="true" customHeight="true" outlineLevel="0" collapsed="false"/>
    <row r="82" customFormat="false" ht="15" hidden="true" customHeight="true" outlineLevel="0" collapsed="false"/>
    <row r="83" customFormat="false" ht="15" hidden="true" customHeight="true" outlineLevel="0" collapsed="false"/>
    <row r="84" customFormat="false" ht="15" hidden="true" customHeight="true" outlineLevel="0" collapsed="false"/>
    <row r="85" customFormat="false" ht="15" hidden="true" customHeight="true" outlineLevel="0" collapsed="false"/>
  </sheetData>
  <dataValidations count="3">
    <dataValidation allowBlank="true" errorStyle="stop" operator="between" prompt="The HECVAT is built using a number of complex formulas. Editing this cell can break the functionality of the tool. " promptTitle="Warning!" showDropDown="false" showErrorMessage="true" showInputMessage="true" sqref="A1:B1 B2:F2 A3:B62 D3:F3 C4:F12 D13:F16 C17:F17 E18:F18 C19:F19 E20:F37 C38:F38 E39:F61" type="none">
      <formula1>0</formula1>
      <formula2>0</formula2>
    </dataValidation>
    <dataValidation allowBlank="true" errorStyle="stop" operator="between" prompt="This answer has been populated from the &quot;START HERE&quot; tab and does not need to be re-entered." showDropDown="false" showErrorMessage="true" showInputMessage="true" sqref="C3 C13:C16 C18" type="none">
      <formula1>0</formula1>
      <formula2>0</formula2>
    </dataValidation>
    <dataValidation allowBlank="true" errorStyle="stop" operator="between" showDropDown="false" showErrorMessage="true" showInputMessage="true" sqref="C20:C37 C39:C62" type="list">
      <formula1>'Auto Responses'!$J$3:$J$4</formula1>
      <formula2>0</formula2>
    </dataValidation>
  </dataValidations>
  <hyperlinks>
    <hyperlink ref="A11" r:id="rId1" display="http://www.educause.edu/HECVAT"/>
  </hyperlinks>
  <printOptions headings="false" gridLines="false" gridLinesSet="true" horizontalCentered="false" verticalCentered="false"/>
  <pageMargins left="0.75" right="0.75" top="1" bottom="1"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&amp;L&amp;"Arial,Regular"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636C"/>
    <pageSetUpPr fitToPage="false"/>
  </sheetPr>
  <dimension ref="A1:L84"/>
  <sheetViews>
    <sheetView showFormulas="false" showGridLines="false" showRowColHeaders="true" showZeros="false" rightToLeft="false" tabSelected="false" showOutlineSymbols="true" defaultGridColor="true" view="normal" topLeftCell="A61" colorId="64" zoomScale="95" zoomScaleNormal="95" zoomScalePageLayoutView="100" workbookViewId="0">
      <selection pane="topLeft" activeCell="D50" activeCellId="0" sqref="D50"/>
    </sheetView>
  </sheetViews>
  <sheetFormatPr defaultColWidth="6.6015625" defaultRowHeight="12.8" customHeight="true" zeroHeight="true" outlineLevelRow="0" outlineLevelCol="0"/>
  <cols>
    <col collapsed="false" customWidth="true" hidden="false" outlineLevel="0" max="1" min="1" style="60" width="8.3"/>
    <col collapsed="false" customWidth="true" hidden="false" outlineLevel="0" max="2" min="2" style="1" width="55.1"/>
    <col collapsed="false" customWidth="true" hidden="false" outlineLevel="0" max="3" min="3" style="2" width="18.9"/>
    <col collapsed="false" customWidth="true" hidden="false" outlineLevel="0" max="4" min="4" style="3" width="55.7"/>
    <col collapsed="false" customWidth="true" hidden="false" outlineLevel="0" max="5" min="5" style="4" width="32"/>
    <col collapsed="false" customWidth="true" hidden="false" outlineLevel="0" max="6" min="6" style="1" width="30.7"/>
    <col collapsed="false" customWidth="true" hidden="false" outlineLevel="0" max="7" min="7" style="1" width="18.1"/>
    <col collapsed="false" customWidth="true" hidden="true" outlineLevel="0" max="8" min="8" style="1" width="18.1"/>
    <col collapsed="false" customWidth="true" hidden="true" outlineLevel="0" max="10" min="9" style="5" width="18.1"/>
    <col collapsed="false" customWidth="true" hidden="true" outlineLevel="0" max="11" min="11" style="1" width="4.5"/>
    <col collapsed="false" customWidth="false" hidden="true" outlineLevel="0" max="12" min="12" style="1" width="6.6"/>
    <col collapsed="false" customWidth="false" hidden="true" outlineLevel="0" max="16384" min="13" style="60" width="6.6"/>
  </cols>
  <sheetData>
    <row r="1" customFormat="false" ht="231.3" hidden="true" customHeight="false" outlineLevel="0" collapsed="false">
      <c r="A1" s="60" t="s">
        <v>0</v>
      </c>
    </row>
    <row r="2" s="77" customFormat="true" ht="36" hidden="false" customHeight="true" outlineLevel="0" collapsed="false">
      <c r="A2" s="7" t="s">
        <v>157</v>
      </c>
      <c r="B2" s="7"/>
      <c r="C2" s="8"/>
      <c r="D2" s="9"/>
      <c r="E2" s="10"/>
      <c r="F2" s="10" t="str">
        <f aca="false">'Auto Responses'!$A$36</f>
        <v>Version 4.1.2</v>
      </c>
      <c r="G2" s="1"/>
      <c r="H2" s="1"/>
      <c r="I2" s="5"/>
      <c r="J2" s="1"/>
      <c r="K2" s="1"/>
      <c r="L2" s="1"/>
    </row>
    <row r="3" s="1" customFormat="true" ht="28.5" hidden="false" customHeight="true" outlineLevel="0" collapsed="false">
      <c r="A3" s="11" t="s">
        <v>2</v>
      </c>
      <c r="B3" s="12"/>
      <c r="C3" s="62" t="n">
        <f aca="false">'START HERE'!$C$3</f>
        <v>0</v>
      </c>
      <c r="D3" s="14"/>
      <c r="E3" s="15"/>
      <c r="F3" s="16"/>
      <c r="I3" s="5"/>
    </row>
    <row r="4" s="1" customFormat="true" ht="36" hidden="false" customHeight="true" outlineLevel="0" collapsed="false">
      <c r="A4" s="17" t="s">
        <v>3</v>
      </c>
      <c r="B4" s="18"/>
      <c r="C4" s="19"/>
      <c r="D4" s="20"/>
      <c r="E4" s="21"/>
      <c r="F4" s="21"/>
      <c r="I4" s="5"/>
    </row>
    <row r="5" s="1" customFormat="true" ht="19.5" hidden="false" customHeight="true" outlineLevel="0" collapsed="false">
      <c r="A5" s="22" t="str">
        <f aca="false">HLOOKUP($A$4,'Auto Responses'!$D$2:$D$8,2,0)&amp;""</f>
        <v>1. Complete the "Start Here" tab and review the "Required Questions" guidance to find the other sections are required for your product or service.</v>
      </c>
      <c r="B5" s="23"/>
      <c r="C5" s="24"/>
      <c r="D5" s="25"/>
      <c r="E5" s="23"/>
      <c r="F5" s="26"/>
      <c r="I5" s="5"/>
    </row>
    <row r="6" s="1" customFormat="true" ht="19.5" hidden="false" customHeight="true" outlineLevel="0" collapsed="false">
      <c r="A6" s="22" t="str">
        <f aca="false">HLOOKUP($A$4,'Auto Responses'!$D$2:$D$8,3,0)&amp;""</f>
        <v>2. Complete the "Organization" tab and the applicable questions in each of the next 5 tabs (Product through Privacy) that apply, based on your answers to the "Required Questions."</v>
      </c>
      <c r="B6" s="23"/>
      <c r="C6" s="24"/>
      <c r="D6" s="25"/>
      <c r="E6" s="23"/>
      <c r="F6" s="27"/>
      <c r="I6" s="5"/>
    </row>
    <row r="7" s="1" customFormat="true" ht="19.5" hidden="false" customHeight="true" outlineLevel="0" collapsed="false">
      <c r="A7" s="22" t="str">
        <f aca="false">HLOOKUP($A$4,'Auto Responses'!$D$2:$D$8,4,0)&amp;""</f>
        <v>3. Guidance in column E may change based on your answers to prompt details in "Additional Information." If leaving an answer blank, you must also state why in "Additional Information". </v>
      </c>
      <c r="B7" s="23"/>
      <c r="C7" s="24"/>
      <c r="D7" s="25"/>
      <c r="E7" s="23"/>
      <c r="F7" s="27"/>
      <c r="I7" s="5"/>
    </row>
    <row r="8" s="1" customFormat="true" ht="19.5" hidden="false" customHeight="true" outlineLevel="0" collapsed="false">
      <c r="A8" s="22" t="str">
        <f aca="false">HLOOKUP($A$4,'Auto Responses'!$D$2:$D$8,5,0)&amp;""</f>
        <v>4. DO NOT complete any fields in the "Evaluation" sheets or the "Analyst Notes" column.</v>
      </c>
      <c r="B8" s="23"/>
      <c r="C8" s="24"/>
      <c r="D8" s="25"/>
      <c r="E8" s="23"/>
      <c r="F8" s="27"/>
      <c r="I8" s="5"/>
    </row>
    <row r="9" s="1" customFormat="true" ht="19.5" hidden="false" customHeight="true" outlineLevel="0" collapsed="false">
      <c r="A9" s="22" t="str">
        <f aca="false">HLOOKUP($A$4,'Auto Responses'!$D$2:$D$8,6,0)&amp;""</f>
        <v>5. Return the completed file to institutions.</v>
      </c>
      <c r="B9" s="23"/>
      <c r="C9" s="24"/>
      <c r="D9" s="25"/>
      <c r="E9" s="23"/>
      <c r="F9" s="27"/>
      <c r="I9" s="5"/>
    </row>
    <row r="10" s="1" customFormat="true" ht="19.5" hidden="false" customHeight="true" outlineLevel="0" collapsed="false">
      <c r="A10" s="28" t="str">
        <f aca="false">HLOOKUP($A$4,'Auto Responses'!$D$2:$D$8,7,0)&amp;""</f>
        <v>* Denotes critical questions. Critical questions are those deemed most important to institutions by higher education volunteers.</v>
      </c>
      <c r="B10" s="23"/>
      <c r="C10" s="24"/>
      <c r="D10" s="25"/>
      <c r="E10" s="23"/>
      <c r="F10" s="27"/>
      <c r="I10" s="5"/>
    </row>
    <row r="11" s="1" customFormat="true" ht="19.5" hidden="false" customHeight="true" outlineLevel="0" collapsed="false">
      <c r="A11" s="29" t="str">
        <f aca="false">HLOOKUP($A$4,'Auto Responses'!$D$2:$D$9,8,0)&amp;""</f>
        <v>For full instructions, please visit educause.edu/HECVAT</v>
      </c>
      <c r="B11" s="23"/>
      <c r="C11" s="24"/>
      <c r="D11" s="25"/>
      <c r="E11" s="23"/>
      <c r="F11" s="30"/>
      <c r="I11" s="5"/>
    </row>
    <row r="12" s="1" customFormat="true" ht="36" hidden="false" customHeight="true" outlineLevel="0" collapsed="false">
      <c r="A12" s="31" t="str">
        <f aca="false">VLOOKUP(LEFT($A13,4),'Auto Responses'!$N$4:$O$38,2,0)&amp;""</f>
        <v> General Information</v>
      </c>
      <c r="B12" s="18"/>
      <c r="C12" s="19" t="s">
        <v>21</v>
      </c>
      <c r="D12" s="33"/>
      <c r="E12" s="34"/>
      <c r="F12" s="34"/>
      <c r="I12" s="5"/>
      <c r="J12" s="5"/>
    </row>
    <row r="13" s="1" customFormat="true" ht="21.75" hidden="false" customHeight="true" outlineLevel="0" collapsed="false">
      <c r="A13" s="35" t="s">
        <v>4</v>
      </c>
      <c r="B13" s="36" t="str">
        <f aca="false">VLOOKUP($A13,Questions!$A$2:$X$333,2,0)&amp;""</f>
        <v>Solution Provider Name</v>
      </c>
      <c r="C13" s="37" t="str">
        <f aca="false">VLOOKUP($A13,'START HERE'!$A$13:$C$21,3,0)&amp;""</f>
        <v>QGIS.org</v>
      </c>
      <c r="D13" s="38"/>
      <c r="E13" s="38"/>
      <c r="F13" s="16"/>
      <c r="I13" s="5"/>
      <c r="J13" s="5"/>
    </row>
    <row r="14" s="1" customFormat="true" ht="21.75" hidden="false" customHeight="true" outlineLevel="0" collapsed="false">
      <c r="A14" s="35" t="s">
        <v>6</v>
      </c>
      <c r="B14" s="36" t="str">
        <f aca="false">VLOOKUP($A14,Questions!$A$2:$X$333,2,0)&amp;""</f>
        <v>Solution Name</v>
      </c>
      <c r="C14" s="37" t="str">
        <f aca="false">VLOOKUP($A14,'START HERE'!$A$13:$C$21,3,0)&amp;""</f>
        <v>QGIS.org</v>
      </c>
      <c r="D14" s="38"/>
      <c r="E14" s="38"/>
      <c r="F14" s="16"/>
      <c r="I14" s="5"/>
      <c r="J14" s="5"/>
    </row>
    <row r="15" s="1" customFormat="true" ht="21.75" hidden="false" customHeight="true" outlineLevel="0" collapsed="false">
      <c r="A15" s="35" t="s">
        <v>7</v>
      </c>
      <c r="B15" s="36" t="str">
        <f aca="false">VLOOKUP($A15,Questions!$A$2:$X$333,2,0)&amp;""</f>
        <v>Solution Description</v>
      </c>
      <c r="C15" s="37" t="str">
        <f aca="false">VLOOKUP($A15,'START HERE'!$A$13:$C$21,3,0)&amp;""</f>
        <v>QGIS is a free and open source Geographic information system, running on Windows, MacOS, Linux and with solution for mobile OS.</v>
      </c>
      <c r="D15" s="38"/>
      <c r="E15" s="38"/>
      <c r="F15" s="16"/>
      <c r="I15" s="5"/>
      <c r="J15" s="5"/>
    </row>
    <row r="16" s="1" customFormat="true" ht="21.75" hidden="false" customHeight="true" outlineLevel="0" collapsed="false">
      <c r="A16" s="35" t="s">
        <v>17</v>
      </c>
      <c r="B16" s="36" t="str">
        <f aca="false">VLOOKUP($A16,Questions!$A$2:$X$333,2,0)&amp;""</f>
        <v>Country of Company Headquarters</v>
      </c>
      <c r="C16" s="37" t="str">
        <f aca="false">VLOOKUP($A16,'START HERE'!$A$13:$C$21,3,0)&amp;""</f>
        <v>Switzerland</v>
      </c>
      <c r="D16" s="38"/>
      <c r="E16" s="38"/>
      <c r="F16" s="16"/>
      <c r="I16" s="5"/>
      <c r="J16" s="5"/>
    </row>
    <row r="17" s="1" customFormat="true" ht="36.75" hidden="false" customHeight="true" outlineLevel="0" collapsed="false">
      <c r="A17" s="31" t="str">
        <f aca="false">VLOOKUP(LEFT($A18,4),'Auto Responses'!$N$4:$O$38,2,0)&amp;""</f>
        <v> Required Questions</v>
      </c>
      <c r="B17" s="42"/>
      <c r="C17" s="19" t="s">
        <v>21</v>
      </c>
      <c r="D17" s="19"/>
      <c r="E17" s="43" t="s">
        <v>23</v>
      </c>
      <c r="F17" s="52" t="s">
        <v>24</v>
      </c>
      <c r="I17" s="5"/>
      <c r="J17" s="5"/>
    </row>
    <row r="18" s="1" customFormat="true" ht="38.25" hidden="false" customHeight="true" outlineLevel="0" collapsed="false">
      <c r="A18" s="35" t="s">
        <v>38</v>
      </c>
      <c r="B18" s="45" t="str">
        <f aca="false">VLOOKUP($A18,Questions!$A$2:$X$333,2,0)</f>
        <v>Are you offering a cloud-based product?</v>
      </c>
      <c r="C18" s="78" t="str">
        <f aca="false">VLOOKUP($A18,'START HERE'!$A$23:$F$36,3,0)&amp;""</f>
        <v>No</v>
      </c>
      <c r="D18" s="79" t="str">
        <f aca="false">VLOOKUP($A18,'START HERE'!$A$23:$F$36,4,0)&amp;""</f>
        <v>external companies can build Saas services using QGIS server or QGIS mobiile features, but those are separate products and handled by other companies</v>
      </c>
      <c r="E18" s="48" t="str">
        <f aca="false">IF($C18="Yes",VLOOKUP($A18,Questions!$A$2:$X$333,17,0)&amp;"",IF($C18="No",VLOOKUP($A18,Questions!$A$2:$X$333,16,0)&amp;"",VLOOKUP($A18,Questions!$A$2:$X$333,15,0)&amp;""))</f>
        <v>DO NOT complete the Product and Infrastructure worksheets</v>
      </c>
      <c r="F18" s="49" t="str">
        <f aca="false">VLOOKUP($A18,'Institution Evaluation'!$A$56:$F$346,6,0)&amp;""</f>
        <v/>
      </c>
      <c r="G18" s="51" t="s">
        <v>37</v>
      </c>
      <c r="I18" s="5"/>
      <c r="J18" s="5"/>
    </row>
    <row r="19" s="1" customFormat="true" ht="36.75" hidden="false" customHeight="true" outlineLevel="0" collapsed="false">
      <c r="A19" s="31" t="str">
        <f aca="false">VLOOKUP(LEFT($A20,4),'Auto Responses'!$N$4:$O$38,2,0)&amp;""</f>
        <v> Application/Service Security</v>
      </c>
      <c r="B19" s="42"/>
      <c r="C19" s="19" t="s">
        <v>21</v>
      </c>
      <c r="D19" s="19" t="s">
        <v>22</v>
      </c>
      <c r="E19" s="43" t="s">
        <v>23</v>
      </c>
      <c r="F19" s="52" t="s">
        <v>24</v>
      </c>
      <c r="I19" s="5"/>
      <c r="J19" s="5"/>
    </row>
    <row r="20" s="1" customFormat="true" ht="97.5" hidden="false" customHeight="true" outlineLevel="0" collapsed="false">
      <c r="A20" s="35" t="s">
        <v>158</v>
      </c>
      <c r="B20" s="45" t="str">
        <f aca="false">VLOOKUP($A20,Questions!$A$2:$X$333,2,0)</f>
        <v>Are access controls for institutional accounts based on structured rules, such as role-based access control (RBAC), attribute-based access control (ABAC), or policy-based access control (PBAC)?*</v>
      </c>
      <c r="C20" s="47"/>
      <c r="D20" s="47"/>
      <c r="E20" s="48" t="str">
        <f aca="false">IF($C$18="No",'Auto Responses'!$A$3,IF($C20="Yes",VLOOKUP($A20,Questions!$A$2:$X$333,17,0)&amp;"",IF($C20="No",VLOOKUP($A20,Questions!$A$2:$X$333,16,0)&amp;"",VLOOKUP($A20,Questions!$A$2:$X$333,15,0)&amp;"")))</f>
        <v>Based on the response to REQU-01 on the "START HERE" tab, this question does not apply to this product or service. </v>
      </c>
      <c r="F20" s="49" t="str">
        <f aca="false">VLOOKUP($A20,'Institution Evaluation'!$A$56:$F$346,6,0)&amp;""</f>
        <v/>
      </c>
      <c r="I20" s="5"/>
      <c r="J20" s="5"/>
    </row>
    <row r="21" s="1" customFormat="true" ht="120.75" hidden="false" customHeight="true" outlineLevel="0" collapsed="false">
      <c r="A21" s="35" t="s">
        <v>159</v>
      </c>
      <c r="B21" s="45" t="str">
        <f aca="false">VLOOKUP($A21,Questions!$A$2:$X$333,2,0)</f>
        <v>Are you using a web application firewall (WAF)?*</v>
      </c>
      <c r="C21" s="46"/>
      <c r="D21" s="80"/>
      <c r="E21" s="48" t="str">
        <f aca="false">IF($C$18="No",'Auto Responses'!$A$3,IF($C21="Yes",VLOOKUP($A21,Questions!$A$2:$X$333,17,0)&amp;"",IF($C21="No",VLOOKUP($A21,Questions!$A$2:$X$333,16,0)&amp;"",VLOOKUP($A21,Questions!$A$2:$X$333,15,0)&amp;"")))</f>
        <v>Based on the response to REQU-01 on the "START HERE" tab, this question does not apply to this product or service. </v>
      </c>
      <c r="F21" s="49" t="str">
        <f aca="false">VLOOKUP($A21,'Institution Evaluation'!$A$56:$F$346,6,0)&amp;""</f>
        <v/>
      </c>
      <c r="I21" s="5"/>
      <c r="J21" s="5"/>
    </row>
    <row r="22" s="1" customFormat="true" ht="66.75" hidden="false" customHeight="true" outlineLevel="0" collapsed="false">
      <c r="A22" s="35" t="s">
        <v>160</v>
      </c>
      <c r="B22" s="45" t="str">
        <f aca="false">VLOOKUP($A22,Questions!$A$2:$X$333,2,0)</f>
        <v>Are only currently supported operating system(s), software, and libraries leveraged by the system(s)/application(s) that will have access to institution's data?*</v>
      </c>
      <c r="C22" s="46"/>
      <c r="D22" s="80"/>
      <c r="E22" s="48" t="str">
        <f aca="false">IF($C$18="No",'Auto Responses'!$A$3,IF($C22="Yes",VLOOKUP($A22,Questions!$A$2:$X$333,17,0)&amp;"",IF($C22="No",VLOOKUP($A22,Questions!$A$2:$X$333,16,0)&amp;"",VLOOKUP($A22,Questions!$A$2:$X$333,15,0)&amp;"")))</f>
        <v>Based on the response to REQU-01 on the "START HERE" tab, this question does not apply to this product or service. </v>
      </c>
      <c r="F22" s="49" t="str">
        <f aca="false">VLOOKUP($A22,'Institution Evaluation'!$A$56:$F$346,6,0)&amp;""</f>
        <v/>
      </c>
      <c r="I22" s="5"/>
      <c r="J22" s="5"/>
    </row>
    <row r="23" s="1" customFormat="true" ht="38.25" hidden="false" customHeight="true" outlineLevel="0" collapsed="false">
      <c r="A23" s="35" t="s">
        <v>161</v>
      </c>
      <c r="B23" s="45" t="str">
        <f aca="false">VLOOKUP($A23,Questions!$A$2:$X$333,2,0)</f>
        <v>Does your application require access to location or GPS data?*</v>
      </c>
      <c r="C23" s="46"/>
      <c r="D23" s="80"/>
      <c r="E23" s="48" t="str">
        <f aca="false">IF($C$18="No",'Auto Responses'!$A$3,IF($C23="Yes",VLOOKUP($A23,Questions!$A$2:$X$333,17,0)&amp;"",IF($C23="No",VLOOKUP($A23,Questions!$A$2:$X$333,16,0)&amp;"",VLOOKUP($A23,Questions!$A$2:$X$333,15,0)&amp;"")))</f>
        <v>Based on the response to REQU-01 on the "START HERE" tab, this question does not apply to this product or service. </v>
      </c>
      <c r="F23" s="49" t="str">
        <f aca="false">VLOOKUP($A23,'Institution Evaluation'!$A$56:$F$346,6,0)&amp;""</f>
        <v/>
      </c>
      <c r="I23" s="5"/>
      <c r="J23" s="5"/>
    </row>
    <row r="24" s="1" customFormat="true" ht="50.25" hidden="false" customHeight="true" outlineLevel="0" collapsed="false">
      <c r="A24" s="35" t="s">
        <v>162</v>
      </c>
      <c r="B24" s="45" t="str">
        <f aca="false">VLOOKUP($A24,Questions!$A$2:$X$333,2,0)</f>
        <v>Does your application provide separation of duties between security administration, system administration, and standard user functions?*</v>
      </c>
      <c r="C24" s="46"/>
      <c r="D24" s="80"/>
      <c r="E24" s="48" t="str">
        <f aca="false">IF($C$18="No",'Auto Responses'!$A$3,IF($C24="Yes",VLOOKUP($A24,Questions!$A$2:$X$333,17,0)&amp;"",IF($C24="No",VLOOKUP($A24,Questions!$A$2:$X$333,16,0)&amp;"",VLOOKUP($A24,Questions!$A$2:$X$333,15,0)&amp;"")))</f>
        <v>Based on the response to REQU-01 on the "START HERE" tab, this question does not apply to this product or service. </v>
      </c>
      <c r="F24" s="49" t="str">
        <f aca="false">VLOOKUP($A24,'Institution Evaluation'!$A$56:$F$346,6,0)&amp;""</f>
        <v/>
      </c>
      <c r="I24" s="5"/>
      <c r="J24" s="5"/>
    </row>
    <row r="25" s="1" customFormat="true" ht="57.75" hidden="false" customHeight="true" outlineLevel="0" collapsed="false">
      <c r="A25" s="35" t="s">
        <v>163</v>
      </c>
      <c r="B25" s="45" t="str">
        <f aca="false">VLOOKUP($A25,Questions!$A$2:$X$333,2,0)</f>
        <v>Do you subject your code to static code analysis and/or static application security testing prior to release?*</v>
      </c>
      <c r="C25" s="46"/>
      <c r="D25" s="80"/>
      <c r="E25" s="48" t="str">
        <f aca="false">IF($C$18="No",'Auto Responses'!$A$3,IF($C25="Yes",VLOOKUP($A25,Questions!$A$2:$X$333,17,0)&amp;"",IF($C25="No",VLOOKUP($A25,Questions!$A$2:$X$333,16,0)&amp;"",VLOOKUP($A25,Questions!$A$2:$X$333,15,0)&amp;"")))</f>
        <v>Based on the response to REQU-01 on the "START HERE" tab, this question does not apply to this product or service. </v>
      </c>
      <c r="F25" s="49" t="str">
        <f aca="false">VLOOKUP($A25,'Institution Evaluation'!$A$56:$F$346,6,0)&amp;""</f>
        <v/>
      </c>
      <c r="I25" s="5"/>
      <c r="J25" s="5"/>
    </row>
    <row r="26" s="1" customFormat="true" ht="38.25" hidden="false" customHeight="true" outlineLevel="0" collapsed="false">
      <c r="A26" s="35" t="s">
        <v>164</v>
      </c>
      <c r="B26" s="45" t="str">
        <f aca="false">VLOOKUP($A26,Questions!$A$2:$X$333,2,0)</f>
        <v>Do you have software testing processes (dynamic or static) that are established and followed?*</v>
      </c>
      <c r="C26" s="46"/>
      <c r="D26" s="80"/>
      <c r="E26" s="48" t="str">
        <f aca="false">IF($C$18="No",'Auto Responses'!$A$3,IF($C26="Yes",VLOOKUP($A26,Questions!$A$2:$X$333,17,0)&amp;"",IF($C26="No",VLOOKUP($A26,Questions!$A$2:$X$333,16,0)&amp;"",VLOOKUP($A26,Questions!$A$2:$X$333,15,0)&amp;"")))</f>
        <v>Based on the response to REQU-01 on the "START HERE" tab, this question does not apply to this product or service. </v>
      </c>
      <c r="F26" s="49" t="str">
        <f aca="false">VLOOKUP($A26,'Institution Evaluation'!$A$56:$F$346,6,0)&amp;""</f>
        <v/>
      </c>
      <c r="I26" s="5"/>
      <c r="J26" s="5"/>
    </row>
    <row r="27" s="1" customFormat="true" ht="111" hidden="false" customHeight="true" outlineLevel="0" collapsed="false">
      <c r="A27" s="35" t="s">
        <v>165</v>
      </c>
      <c r="B27" s="45" t="str">
        <f aca="false">VLOOKUP($A27,Questions!$A$2:$X$333,2,0)</f>
        <v>Are access controls for staff within your organization based on structured rules, such as RBAC, ABAC, or PBAC?</v>
      </c>
      <c r="C27" s="46"/>
      <c r="D27" s="80"/>
      <c r="E27" s="48" t="str">
        <f aca="false">IF($C$18="No",'Auto Responses'!$A$3,IF($C27="Yes",VLOOKUP($A27,Questions!$A$2:$X$333,17,0)&amp;"",IF($C27="No",VLOOKUP($A27,Questions!$A$2:$X$333,16,0)&amp;"",VLOOKUP($A27,Questions!$A$2:$X$333,15,0)&amp;"")))</f>
        <v>Based on the response to REQU-01 on the "START HERE" tab, this question does not apply to this product or service. </v>
      </c>
      <c r="F27" s="49" t="str">
        <f aca="false">VLOOKUP($A27,'Institution Evaluation'!$A$56:$F$346,6,0)&amp;""</f>
        <v/>
      </c>
      <c r="I27" s="5"/>
      <c r="J27" s="5"/>
    </row>
    <row r="28" s="1" customFormat="true" ht="38.25" hidden="false" customHeight="true" outlineLevel="0" collapsed="false">
      <c r="A28" s="35" t="s">
        <v>166</v>
      </c>
      <c r="B28" s="45" t="str">
        <f aca="false">VLOOKUP($A28,Questions!$A$2:$X$333,2,0)</f>
        <v>Does the system provide data input validation and error messages?</v>
      </c>
      <c r="C28" s="46"/>
      <c r="D28" s="80"/>
      <c r="E28" s="48" t="str">
        <f aca="false">IF($C$18="No",'Auto Responses'!$A$3,IF($C28="Yes",VLOOKUP($A28,Questions!$A$2:$X$333,17,0)&amp;"",IF($C28="No",VLOOKUP($A28,Questions!$A$2:$X$333,16,0)&amp;"",VLOOKUP($A28,Questions!$A$2:$X$333,15,0)&amp;"")))</f>
        <v>Based on the response to REQU-01 on the "START HERE" tab, this question does not apply to this product or service. </v>
      </c>
      <c r="F28" s="49" t="str">
        <f aca="false">VLOOKUP($A28,'Institution Evaluation'!$A$56:$F$346,6,0)&amp;""</f>
        <v/>
      </c>
      <c r="I28" s="5"/>
      <c r="J28" s="5"/>
    </row>
    <row r="29" s="1" customFormat="true" ht="51.75" hidden="false" customHeight="true" outlineLevel="0" collapsed="false">
      <c r="A29" s="35" t="s">
        <v>167</v>
      </c>
      <c r="B29" s="45" t="str">
        <f aca="false">VLOOKUP($A29,Questions!$A$2:$X$333,2,0)</f>
        <v>Do you have a process and implemented procedures for managing your software supply chain (e.g., libraries, repositories, frameworks, etc.)</v>
      </c>
      <c r="C29" s="46"/>
      <c r="D29" s="80"/>
      <c r="E29" s="48" t="str">
        <f aca="false">IF($C$18="No",'Auto Responses'!$A$3,IF($C29="Yes",VLOOKUP($A29,Questions!$A$2:$X$333,17,0)&amp;"",IF($C29="No",VLOOKUP($A29,Questions!$A$2:$X$333,16,0)&amp;"",VLOOKUP($A29,Questions!$A$2:$X$333,15,0)&amp;"")))</f>
        <v>Based on the response to REQU-01 on the "START HERE" tab, this question does not apply to this product or service. </v>
      </c>
      <c r="F29" s="49" t="str">
        <f aca="false">VLOOKUP($A29,'Institution Evaluation'!$A$56:$F$346,6,0)&amp;""</f>
        <v/>
      </c>
      <c r="I29" s="5"/>
      <c r="J29" s="5"/>
    </row>
    <row r="30" s="1" customFormat="true" ht="38.25" hidden="false" customHeight="true" outlineLevel="0" collapsed="false">
      <c r="A30" s="35" t="s">
        <v>168</v>
      </c>
      <c r="B30" s="45" t="str">
        <f aca="false">VLOOKUP($A30,Questions!$A$2:$X$333,2,0)</f>
        <v>Have your developers been trained in secure coding techniques?</v>
      </c>
      <c r="C30" s="46"/>
      <c r="D30" s="80"/>
      <c r="E30" s="48" t="str">
        <f aca="false">IF($C$18="No",'Auto Responses'!$A$3,IF($C30="Yes",VLOOKUP($A30,Questions!$A$2:$X$333,17,0)&amp;"",IF($C30="No",VLOOKUP($A30,Questions!$A$2:$X$333,16,0)&amp;"",VLOOKUP($A30,Questions!$A$2:$X$333,15,0)&amp;"")))</f>
        <v>Based on the response to REQU-01 on the "START HERE" tab, this question does not apply to this product or service. </v>
      </c>
      <c r="F30" s="49" t="str">
        <f aca="false">VLOOKUP($A30,'Institution Evaluation'!$A$56:$F$346,6,0)&amp;""</f>
        <v/>
      </c>
      <c r="I30" s="5"/>
      <c r="J30" s="5"/>
    </row>
    <row r="31" s="1" customFormat="true" ht="45.75" hidden="false" customHeight="true" outlineLevel="0" collapsed="false">
      <c r="A31" s="35" t="s">
        <v>169</v>
      </c>
      <c r="B31" s="45" t="str">
        <f aca="false">VLOOKUP($A31,Questions!$A$2:$X$333,2,0)</f>
        <v>Was your application developed using secure coding techniques?</v>
      </c>
      <c r="C31" s="46"/>
      <c r="D31" s="81"/>
      <c r="E31" s="48" t="str">
        <f aca="false">IF($C$18="No",'Auto Responses'!$A$3,IF($C31="Yes",VLOOKUP($A31,Questions!$A$2:$X$333,17,0)&amp;"",IF($C31="No",VLOOKUP($A31,Questions!$A$2:$X$333,16,0)&amp;"",VLOOKUP($A31,Questions!$A$2:$X$333,15,0)&amp;"")))</f>
        <v>Based on the response to REQU-01 on the "START HERE" tab, this question does not apply to this product or service. </v>
      </c>
      <c r="F31" s="49" t="str">
        <f aca="false">VLOOKUP($A31,'Institution Evaluation'!$A$56:$F$346,6,0)&amp;""</f>
        <v/>
      </c>
      <c r="I31" s="5"/>
      <c r="J31" s="5"/>
    </row>
    <row r="32" s="1" customFormat="true" ht="48" hidden="false" customHeight="true" outlineLevel="0" collapsed="false">
      <c r="A32" s="35" t="s">
        <v>170</v>
      </c>
      <c r="B32" s="45" t="str">
        <f aca="false">VLOOKUP($A32,Questions!$A$2:$X$333,2,0)</f>
        <v>If mobile, is the application available from a trusted source (e.g., App Store, Google Play Store)?</v>
      </c>
      <c r="C32" s="46"/>
      <c r="D32" s="81"/>
      <c r="E32" s="48" t="str">
        <f aca="false">IF($C$18="No",'Auto Responses'!$A$3,IF($C32="Yes",VLOOKUP($A32,Questions!$A$2:$X$333,17,0)&amp;"",IF($C32="No",VLOOKUP($A32,Questions!$A$2:$X$333,16,0)&amp;"",IF($C32="N/A",VLOOKUP($A32,Questions!$A$2:$X$333,18,0)&amp;"",VLOOKUP($A32,Questions!$A$2:$X$333,15,0)&amp;""))))</f>
        <v>Based on the response to REQU-01 on the "START HERE" tab, this question does not apply to this product or service. </v>
      </c>
      <c r="F32" s="49" t="str">
        <f aca="false">VLOOKUP($A32,'Institution Evaluation'!$A$56:$F$346,6,0)&amp;""</f>
        <v/>
      </c>
      <c r="I32" s="5"/>
      <c r="J32" s="5"/>
    </row>
    <row r="33" s="1" customFormat="true" ht="61.5" hidden="false" customHeight="true" outlineLevel="0" collapsed="false">
      <c r="A33" s="35" t="s">
        <v>171</v>
      </c>
      <c r="B33" s="45" t="str">
        <f aca="false">VLOOKUP($A33,Questions!$A$2:$X$333,2,0)</f>
        <v>Do you have a fully implemented policy or procedure that details how your employees obtain administrator access to institutional instance of the application?</v>
      </c>
      <c r="C33" s="46"/>
      <c r="D33" s="81"/>
      <c r="E33" s="48" t="str">
        <f aca="false">IF($C$18="No",'Auto Responses'!$A$3,IF($C33="Yes",VLOOKUP($A33,Questions!$A$2:$X$333,17,0)&amp;"",IF($C33="No",VLOOKUP($A33,Questions!$A$2:$X$333,16,0)&amp;"",VLOOKUP($A33,Questions!$A$2:$X$333,15,0)&amp;"")))</f>
        <v>Based on the response to REQU-01 on the "START HERE" tab, this question does not apply to this product or service. </v>
      </c>
      <c r="F33" s="49" t="str">
        <f aca="false">VLOOKUP($A33,'Institution Evaluation'!$A$56:$F$346,6,0)&amp;""</f>
        <v/>
      </c>
      <c r="G33" s="51" t="s">
        <v>37</v>
      </c>
      <c r="I33" s="5"/>
      <c r="J33" s="5"/>
    </row>
    <row r="34" s="1" customFormat="true" ht="36.75" hidden="false" customHeight="true" outlineLevel="0" collapsed="false">
      <c r="A34" s="31" t="str">
        <f aca="false">VLOOKUP(LEFT($A35,4),'Auto Responses'!$N$4:$O$38,2,0)&amp;""</f>
        <v> Datacenter</v>
      </c>
      <c r="B34" s="42"/>
      <c r="C34" s="19"/>
      <c r="D34" s="19"/>
      <c r="E34" s="43" t="s">
        <v>23</v>
      </c>
      <c r="F34" s="52" t="s">
        <v>24</v>
      </c>
      <c r="I34" s="5"/>
      <c r="J34" s="5"/>
    </row>
    <row r="35" s="1" customFormat="true" ht="84" hidden="false" customHeight="true" outlineLevel="0" collapsed="false">
      <c r="A35" s="35" t="s">
        <v>172</v>
      </c>
      <c r="B35" s="45" t="str">
        <f aca="false">VLOOKUP($A35,Questions!$A$2:$X$333,2,0)</f>
        <v>Select your hosting option.</v>
      </c>
      <c r="C35" s="82"/>
      <c r="D35" s="81"/>
      <c r="E35" s="48" t="str">
        <f aca="false">IF(OR($C35="",$C35="Other"),VLOOKUP($A35,Questions!$A$2:$X$333,15,0),"")&amp;""</f>
        <v>If you are using an option not listed, or a combination of options, select "Other." Your selection here will determine which questions below are required.</v>
      </c>
      <c r="F35" s="49" t="str">
        <f aca="false">VLOOKUP($A35,'Institution Evaluation'!$A$56:$F$346,6,0)&amp;""</f>
        <v/>
      </c>
      <c r="I35" s="5"/>
      <c r="J35" s="5"/>
    </row>
    <row r="36" s="1" customFormat="true" ht="53.25" hidden="false" customHeight="true" outlineLevel="0" collapsed="false">
      <c r="A36" s="35" t="s">
        <v>173</v>
      </c>
      <c r="B36" s="45" t="str">
        <f aca="false">VLOOKUP($A36,Questions!$A$2:$X$333,2,0)</f>
        <v>Is a SOC 2 Type 2 report available for the hosting environment?</v>
      </c>
      <c r="C36" s="46"/>
      <c r="D36" s="81"/>
      <c r="E36" s="48" t="str">
        <f aca="false">IF($C$35="","",IF(OR($C$35='Auto Responses'!$J$20,$C$35='Auto Responses'!$J$21,$C$35='Auto Responses'!$J$22),'Auto Responses'!$A$26,IF($C36="Yes",VLOOKUP($A36,Questions!$A$2:$X$333,17,0)&amp;"",IF($C36="No",VLOOKUP($A36,Questions!$A$2:$X$333,16,0)&amp;"",VLOOKUP($A36,Questions!$A$2:$X$333,15,0)&amp;""))))</f>
        <v/>
      </c>
      <c r="F36" s="49" t="str">
        <f aca="false">VLOOKUP($A36,'Institution Evaluation'!$A$56:$F$346,6,0)&amp;""</f>
        <v/>
      </c>
      <c r="I36" s="5"/>
      <c r="J36" s="5"/>
    </row>
    <row r="37" s="1" customFormat="true" ht="58.5" hidden="false" customHeight="true" outlineLevel="0" collapsed="false">
      <c r="A37" s="35" t="s">
        <v>174</v>
      </c>
      <c r="B37" s="45" t="str">
        <f aca="false">VLOOKUP($A37,Questions!$A$2:$X$333,2,0)</f>
        <v>Are you generally able to accommodate storing each institution's data within its geographic region?</v>
      </c>
      <c r="C37" s="46"/>
      <c r="D37" s="81"/>
      <c r="E37" s="48" t="str">
        <f aca="false">IF($C$35="","",IF($C37="Yes",VLOOKUP($A37,Questions!$A$2:$X$333,17,0)&amp;"",IF($C37="No",VLOOKUP($A37,Questions!$A$2:$X$333,16,0)&amp;"",VLOOKUP($A37,Questions!$A$2:$X$333,15,0)&amp;"")))</f>
        <v/>
      </c>
      <c r="F37" s="49" t="str">
        <f aca="false">VLOOKUP($A37,'Institution Evaluation'!$A$56:$F$346,6,0)&amp;""</f>
        <v/>
      </c>
      <c r="I37" s="5"/>
      <c r="J37" s="5"/>
    </row>
    <row r="38" s="1" customFormat="true" ht="53.25" hidden="false" customHeight="true" outlineLevel="0" collapsed="false">
      <c r="A38" s="35" t="s">
        <v>175</v>
      </c>
      <c r="B38" s="45" t="str">
        <f aca="false">VLOOKUP($A38,Questions!$A$2:$X$333,2,0)</f>
        <v>Are the data centers staffed 24 hours a day, seven days a week (i.e., 24 x 7 x 365)?</v>
      </c>
      <c r="C38" s="46"/>
      <c r="D38" s="81"/>
      <c r="E38" s="48" t="str">
        <f aca="false">IF($C$35="","",IF(OR($C$35='Auto Responses'!$J$20,$C$35='Auto Responses'!$J$21,$C$35='Auto Responses'!$J$22),'Auto Responses'!$A$26,IF($C38="Yes",VLOOKUP($A38,Questions!$A$2:$X$333,17,0)&amp;"",IF($C38="No",VLOOKUP($A38,Questions!$A$2:$X$333,16,0)&amp;"",VLOOKUP($A38,Questions!$A$2:$X$333,15,0)&amp;""))))</f>
        <v/>
      </c>
      <c r="F38" s="49" t="str">
        <f aca="false">VLOOKUP($A38,'Institution Evaluation'!$A$56:$F$346,6,0)&amp;""</f>
        <v/>
      </c>
      <c r="I38" s="5"/>
      <c r="J38" s="5"/>
    </row>
    <row r="39" s="1" customFormat="true" ht="55.5" hidden="false" customHeight="true" outlineLevel="0" collapsed="false">
      <c r="A39" s="35" t="s">
        <v>176</v>
      </c>
      <c r="B39" s="45" t="str">
        <f aca="false">VLOOKUP($A39,Questions!$A$2:$X$333,2,0)</f>
        <v>Are your servers separated from other companies via a physical barrier, such as a cage or hard walls?</v>
      </c>
      <c r="C39" s="46"/>
      <c r="D39" s="81"/>
      <c r="E39" s="48" t="str">
        <f aca="false">IF($C$35="","",IF(OR($C$35='Auto Responses'!$J$17,$C$35='Auto Responses'!$J$19,$C$35='Auto Responses'!$J$20,$C$35='Auto Responses'!$J$21,$C$35='Auto Responses'!$J$22),'Auto Responses'!$A$26,IF($C39="Yes",VLOOKUP($A39,Questions!$A$2:$X$333,17,0)&amp;"",IF($C39="No",VLOOKUP($A39,Questions!$A$2:$X$333,16,0)&amp;"",VLOOKUP($A39,Questions!$A$2:$X$333,15,0)&amp;""))))</f>
        <v/>
      </c>
      <c r="F39" s="49" t="str">
        <f aca="false">VLOOKUP($A39,'Institution Evaluation'!$A$56:$F$346,6,0)&amp;""</f>
        <v/>
      </c>
      <c r="I39" s="5"/>
      <c r="J39" s="5"/>
    </row>
    <row r="40" s="1" customFormat="true" ht="56.25" hidden="false" customHeight="true" outlineLevel="0" collapsed="false">
      <c r="A40" s="35" t="s">
        <v>177</v>
      </c>
      <c r="B40" s="45" t="str">
        <f aca="false">VLOOKUP($A40,Questions!$A$2:$X$333,2,0)</f>
        <v>Does a physical barrier fully enclose the physical space, preventing unauthorized physical contact with any of your devices?*</v>
      </c>
      <c r="C40" s="46"/>
      <c r="D40" s="81"/>
      <c r="E40" s="48" t="str">
        <f aca="false">IF($C$35="","",IF(OR($C$35='Auto Responses'!$J$19,$C$35='Auto Responses'!$J$20,$C$35='Auto Responses'!$J$21,$C$35='Auto Responses'!$J$22),'Auto Responses'!$A$26,IF($C40="Yes",VLOOKUP($A40,Questions!$A$2:$X$333,17,0)&amp;"",IF($C40="No",VLOOKUP($A40,Questions!$A$2:$X$333,16,0)&amp;"",VLOOKUP($A40,Questions!$A$2:$X$333,15,0)&amp;""))))</f>
        <v/>
      </c>
      <c r="F40" s="49" t="str">
        <f aca="false">VLOOKUP($A40,'Institution Evaluation'!$A$56:$F$346,6,0)&amp;""</f>
        <v/>
      </c>
      <c r="I40" s="5"/>
      <c r="J40" s="5"/>
    </row>
    <row r="41" s="1" customFormat="true" ht="48.75" hidden="false" customHeight="true" outlineLevel="0" collapsed="false">
      <c r="A41" s="35" t="s">
        <v>178</v>
      </c>
      <c r="B41" s="45" t="str">
        <f aca="false">VLOOKUP($A41,Questions!$A$2:$X$333,2,0)</f>
        <v>Are your primary and secondary data centers geographically diverse?</v>
      </c>
      <c r="C41" s="46"/>
      <c r="D41" s="81"/>
      <c r="E41" s="48" t="str">
        <f aca="false">IF($C$35="","",IF($C41="Yes",VLOOKUP($A41,Questions!$A$2:$X$333,17,0)&amp;"",IF($C41="No",VLOOKUP($A41,Questions!$A$2:$X$333,16,0)&amp;"",VLOOKUP($A41,Questions!$A$2:$X$333,15,0)&amp;"")))</f>
        <v/>
      </c>
      <c r="F41" s="49" t="str">
        <f aca="false">VLOOKUP($A41,'Institution Evaluation'!$A$56:$F$346,6,0)&amp;""</f>
        <v/>
      </c>
      <c r="I41" s="5"/>
      <c r="J41" s="5"/>
    </row>
    <row r="42" s="1" customFormat="true" ht="48" hidden="false" customHeight="true" outlineLevel="0" collapsed="false">
      <c r="A42" s="35" t="s">
        <v>179</v>
      </c>
      <c r="B42" s="45" t="str">
        <f aca="false">VLOOKUP($A42,Questions!$A$2:$X$333,2,0)</f>
        <v>Is the service hosted in a high-availability environment?</v>
      </c>
      <c r="C42" s="46"/>
      <c r="D42" s="81"/>
      <c r="E42" s="48" t="str">
        <f aca="false">IF($C$35="","",IF($C42="Yes",VLOOKUP($A42,Questions!$A$2:$X$333,17,0)&amp;"",IF($C42="No",VLOOKUP($A42,Questions!$A$2:$X$333,16,0)&amp;"",VLOOKUP($A42,Questions!$A$2:$X$333,15,0)&amp;"")))</f>
        <v/>
      </c>
      <c r="F42" s="49" t="str">
        <f aca="false">VLOOKUP($A42,'Institution Evaluation'!$A$56:$F$346,6,0)&amp;""</f>
        <v/>
      </c>
      <c r="I42" s="5"/>
      <c r="J42" s="5"/>
    </row>
    <row r="43" s="1" customFormat="true" ht="55.5" hidden="false" customHeight="true" outlineLevel="0" collapsed="false">
      <c r="A43" s="35" t="s">
        <v>180</v>
      </c>
      <c r="B43" s="45" t="str">
        <f aca="false">VLOOKUP($A43,Questions!$A$2:$X$333,2,0)</f>
        <v>Is redundant power available for all data centers where institutional data will reside?</v>
      </c>
      <c r="C43" s="46"/>
      <c r="D43" s="81"/>
      <c r="E43" s="48" t="str">
        <f aca="false">IF($C$35="","",IF(OR($C$35='Auto Responses'!$J$20,$C$35='Auto Responses'!$J$21,$C$35='Auto Responses'!$J$22),'Auto Responses'!$A$26,IF($C43="Yes",VLOOKUP($A43,Questions!$A$2:$X$333,17,0)&amp;"",IF($C43="No",VLOOKUP($A43,Questions!$A$2:$X$333,16,0)&amp;"",VLOOKUP($A43,Questions!$A$2:$X$333,15,0)&amp;""))))</f>
        <v/>
      </c>
      <c r="F43" s="49" t="str">
        <f aca="false">VLOOKUP($A43,'Institution Evaluation'!$A$56:$F$346,6,0)&amp;""</f>
        <v/>
      </c>
      <c r="I43" s="5"/>
      <c r="J43" s="5"/>
    </row>
    <row r="44" s="1" customFormat="true" ht="56.25" hidden="false" customHeight="true" outlineLevel="0" collapsed="false">
      <c r="A44" s="35" t="s">
        <v>181</v>
      </c>
      <c r="B44" s="45" t="str">
        <f aca="false">VLOOKUP($A44,Questions!$A$2:$X$333,2,0)</f>
        <v>Are redundant power strategies tested?*</v>
      </c>
      <c r="C44" s="46"/>
      <c r="D44" s="81"/>
      <c r="E44" s="48" t="str">
        <f aca="false">IF($C$35="","",IF(OR($C$35='Auto Responses'!$J$20,$C$35='Auto Responses'!$J$21,$C$35='Auto Responses'!$J$22),'Auto Responses'!$A$26,IF($C44="Yes",VLOOKUP($A44,Questions!$A$2:$X$333,17,0)&amp;"",IF($C44="No",VLOOKUP($A44,Questions!$A$2:$X$333,16,0)&amp;"",VLOOKUP($A44,Questions!$A$2:$X$333,15,0)&amp;""))))</f>
        <v/>
      </c>
      <c r="F44" s="49" t="str">
        <f aca="false">VLOOKUP($A44,'Institution Evaluation'!$A$56:$F$346,6,0)&amp;""</f>
        <v/>
      </c>
      <c r="I44" s="5"/>
      <c r="J44" s="5"/>
    </row>
    <row r="45" s="1" customFormat="true" ht="60" hidden="false" customHeight="true" outlineLevel="0" collapsed="false">
      <c r="A45" s="35" t="s">
        <v>182</v>
      </c>
      <c r="B45" s="45" t="str">
        <f aca="false">VLOOKUP($A45,Questions!$A$2:$X$333,2,0)</f>
        <v>Does the center where the data will reside have cooling and fire-suppression systems that are active and regularly tested?</v>
      </c>
      <c r="C45" s="46"/>
      <c r="D45" s="81"/>
      <c r="E45" s="48" t="str">
        <f aca="false">IF($C$35="","",IF(OR($C$35='Auto Responses'!$J$19,$C$35='Auto Responses'!$J$20,$C$35='Auto Responses'!$J$21,$C$35='Auto Responses'!$J$22,$C$35='Auto Responses'!$J$23),'Auto Responses'!$A$26,IF($C45="Yes",VLOOKUP($A45,Questions!$A$2:$X$333,17,0)&amp;"",IF($C45="No",VLOOKUP($A45,Questions!$A$2:$X$333,16,0)&amp;"",VLOOKUP($A45,Questions!$A$2:$X$333,15,0)&amp;""))))</f>
        <v/>
      </c>
      <c r="F45" s="49" t="str">
        <f aca="false">VLOOKUP($A45,'Institution Evaluation'!$A$56:$F$346,6,0)&amp;""</f>
        <v/>
      </c>
      <c r="I45" s="5"/>
      <c r="J45" s="5"/>
    </row>
    <row r="46" s="1" customFormat="true" ht="55.5" hidden="false" customHeight="true" outlineLevel="0" collapsed="false">
      <c r="A46" s="35" t="s">
        <v>183</v>
      </c>
      <c r="B46" s="45" t="str">
        <f aca="false">VLOOKUP($A46,Questions!$A$2:$X$333,2,0)</f>
        <v>Do you have Internet Service Provider (ISP) redundancy?</v>
      </c>
      <c r="C46" s="46"/>
      <c r="D46" s="81"/>
      <c r="E46" s="48" t="str">
        <f aca="false">IF($C$35="","",IF(OR($C$35='Auto Responses'!$J$20,$C$35='Auto Responses'!$J$21,$C$35='Auto Responses'!$J$22),'Auto Responses'!$A$26,IF($C46="Yes",VLOOKUP($A46,Questions!$A$2:$X$333,17,0)&amp;"",IF($C46="No",VLOOKUP($A46,Questions!$A$2:$X$333,16,0)&amp;"",VLOOKUP($A46,Questions!$A$2:$X$333,15,0)&amp;""))))</f>
        <v/>
      </c>
      <c r="F46" s="49" t="str">
        <f aca="false">VLOOKUP($A46,'Institution Evaluation'!$A$56:$F$346,6,0)&amp;""</f>
        <v/>
      </c>
      <c r="I46" s="5"/>
      <c r="J46" s="5"/>
    </row>
    <row r="47" s="1" customFormat="true" ht="56.25" hidden="false" customHeight="true" outlineLevel="0" collapsed="false">
      <c r="A47" s="35" t="s">
        <v>184</v>
      </c>
      <c r="B47" s="45" t="str">
        <f aca="false">VLOOKUP($A47,Questions!$A$2:$X$333,2,0)</f>
        <v>Does every data center where the institution's data will reside have multiple telephone company or network provider entrances to the facility?</v>
      </c>
      <c r="C47" s="46"/>
      <c r="D47" s="81"/>
      <c r="E47" s="48" t="str">
        <f aca="false">IF($C$35="","",IF(OR($C$35='Auto Responses'!$J$20,$C$35='Auto Responses'!$J$21,$C$35='Auto Responses'!$J$22),'Auto Responses'!$A$26,IF($C47="Yes",VLOOKUP($A47,Questions!$A$2:$X$333,17,0)&amp;"",IF($C47="No",VLOOKUP($A47,Questions!$A$2:$X$333,16,0)&amp;"",VLOOKUP($A47,Questions!$A$2:$X$333,15,0)&amp;""))))</f>
        <v/>
      </c>
      <c r="F47" s="49" t="str">
        <f aca="false">VLOOKUP($A47,'Institution Evaluation'!$A$56:$F$346,6,0)&amp;""</f>
        <v/>
      </c>
      <c r="I47" s="5"/>
      <c r="J47" s="5"/>
    </row>
    <row r="48" s="1" customFormat="true" ht="49.5" hidden="false" customHeight="true" outlineLevel="0" collapsed="false">
      <c r="A48" s="35" t="s">
        <v>185</v>
      </c>
      <c r="B48" s="45" t="str">
        <f aca="false">VLOOKUP($A48,Questions!$A$2:$X$333,2,0)</f>
        <v>Do you require multifactor authentication for all administrative accounts in your environment?</v>
      </c>
      <c r="C48" s="46"/>
      <c r="D48" s="81"/>
      <c r="E48" s="48" t="str">
        <f aca="false">IF($C$35="","",IF($C48="Yes",VLOOKUP($A48,Questions!$A$2:$X$333,17,0)&amp;"",IF($C48="No",VLOOKUP($A48,Questions!$A$2:$X$333,16,0)&amp;"",VLOOKUP($A48,Questions!$A$2:$X$333,15,0)&amp;"")))</f>
        <v/>
      </c>
      <c r="F48" s="49" t="str">
        <f aca="false">VLOOKUP($A48,'Institution Evaluation'!$A$56:$F$346,6,0)&amp;""</f>
        <v/>
      </c>
      <c r="I48" s="5"/>
      <c r="J48" s="5"/>
    </row>
    <row r="49" s="1" customFormat="true" ht="54" hidden="false" customHeight="true" outlineLevel="0" collapsed="false">
      <c r="A49" s="35" t="s">
        <v>186</v>
      </c>
      <c r="B49" s="45" t="str">
        <f aca="false">VLOOKUP($A49,Questions!$A$2:$X$333,2,0)</f>
        <v>Are you using your cloud provider's available hardening tools or pre-hardened images?</v>
      </c>
      <c r="C49" s="46"/>
      <c r="D49" s="81"/>
      <c r="E49" s="48" t="str">
        <f aca="false">IF($C$35="","",IF(OR($C$35='Auto Responses'!$J$17,$C$35='Auto Responses'!$J$18),'Auto Responses'!$A$26,IF($C49="Yes",VLOOKUP($A49,Questions!$A$2:$X$333,17,0)&amp;"",IF($C49="No",VLOOKUP($A49,Questions!$A$2:$X$333,16,0)&amp;"",VLOOKUP($A49,Questions!$A$2:$X$333,15,0)&amp;""))))</f>
        <v/>
      </c>
      <c r="F49" s="49" t="str">
        <f aca="false">VLOOKUP($A49,'Institution Evaluation'!$A$56:$F$346,6,0)&amp;""</f>
        <v/>
      </c>
      <c r="I49" s="5"/>
      <c r="J49" s="5"/>
    </row>
    <row r="50" s="1" customFormat="true" ht="52.5" hidden="false" customHeight="true" outlineLevel="0" collapsed="false">
      <c r="A50" s="35" t="s">
        <v>187</v>
      </c>
      <c r="B50" s="45" t="str">
        <f aca="false">VLOOKUP($A50,Questions!$A$2:$X$333,2,0)</f>
        <v>Does your cloud solution provider have access to your encryption keys?</v>
      </c>
      <c r="C50" s="46"/>
      <c r="D50" s="81"/>
      <c r="E50" s="48" t="str">
        <f aca="false">IF($C$35="","",IF(OR($C$35='Auto Responses'!$J$17,$C$35='Auto Responses'!$J$18),'Auto Responses'!$A$26,IF($C50="Yes",VLOOKUP($A50,Questions!$A$2:$X$333,17,0)&amp;"",IF($C50="No",VLOOKUP($A50,Questions!$A$2:$X$333,16,0)&amp;"",VLOOKUP($A50,Questions!$A$2:$X$333,15,0)&amp;""))))</f>
        <v/>
      </c>
      <c r="F50" s="49" t="str">
        <f aca="false">VLOOKUP($A50,'Institution Evaluation'!$A$56:$F$346,6,0)&amp;""</f>
        <v/>
      </c>
      <c r="I50" s="5"/>
      <c r="J50" s="5"/>
    </row>
    <row r="51" s="1" customFormat="true" ht="36.75" hidden="false" customHeight="true" outlineLevel="0" collapsed="false">
      <c r="A51" s="31" t="str">
        <f aca="false">VLOOKUP(LEFT($A52,4),'Auto Responses'!$N$4:$O$38,2,0)&amp;""</f>
        <v> Firewalls, IDS, IPS, and Networking</v>
      </c>
      <c r="B51" s="42"/>
      <c r="C51" s="19" t="s">
        <v>21</v>
      </c>
      <c r="D51" s="19" t="s">
        <v>22</v>
      </c>
      <c r="E51" s="43" t="s">
        <v>23</v>
      </c>
      <c r="F51" s="52" t="s">
        <v>24</v>
      </c>
      <c r="I51" s="5"/>
      <c r="J51" s="5"/>
    </row>
    <row r="52" s="1" customFormat="true" ht="38.25" hidden="false" customHeight="true" outlineLevel="0" collapsed="false">
      <c r="A52" s="35" t="s">
        <v>188</v>
      </c>
      <c r="B52" s="45" t="str">
        <f aca="false">VLOOKUP($A52,Questions!$A$2:$X$333,2,0)</f>
        <v>Are you utilizing a stateful packet inspection (SPI) firewall?*</v>
      </c>
      <c r="C52" s="46"/>
      <c r="D52" s="81"/>
      <c r="E52" s="48" t="str">
        <f aca="false">IF($C$18="No",'Auto Responses'!$A$3,IF($C52="Yes",VLOOKUP($A52,Questions!$A$2:$X$333,17,0)&amp;"",IF($C52="No",VLOOKUP($A52,Questions!$A$2:$X$333,16,0)&amp;"",VLOOKUP($A52,Questions!$A$2:$X$333,15,0)&amp;"")))</f>
        <v>Based on the response to REQU-01 on the "START HERE" tab, this question does not apply to this product or service. </v>
      </c>
      <c r="F52" s="49" t="str">
        <f aca="false">VLOOKUP($A52,'Institution Evaluation'!$A$56:$F$346,6,0)&amp;""</f>
        <v/>
      </c>
      <c r="I52" s="5"/>
      <c r="J52" s="5"/>
    </row>
    <row r="53" s="1" customFormat="true" ht="38.25" hidden="false" customHeight="true" outlineLevel="0" collapsed="false">
      <c r="A53" s="35" t="s">
        <v>189</v>
      </c>
      <c r="B53" s="45" t="str">
        <f aca="false">VLOOKUP($A53,Questions!$A$2:$X$333,2,0)</f>
        <v>Do you have a documented policy for firewall change requests?*</v>
      </c>
      <c r="C53" s="46"/>
      <c r="D53" s="81"/>
      <c r="E53" s="48" t="str">
        <f aca="false">IF($C$18="No",'Auto Responses'!$A$3,IF($C53="Yes",VLOOKUP($A53,Questions!$A$2:$X$333,17,0)&amp;"",IF($C53="No",VLOOKUP($A53,Questions!$A$2:$X$333,16,0)&amp;"",VLOOKUP($A53,Questions!$A$2:$X$333,15,0)&amp;"")))</f>
        <v>Based on the response to REQU-01 on the "START HERE" tab, this question does not apply to this product or service. </v>
      </c>
      <c r="F53" s="49" t="str">
        <f aca="false">VLOOKUP($A53,'Institution Evaluation'!$A$56:$F$346,6,0)&amp;""</f>
        <v/>
      </c>
      <c r="I53" s="5"/>
      <c r="J53" s="5"/>
    </row>
    <row r="54" s="1" customFormat="true" ht="38.25" hidden="false" customHeight="true" outlineLevel="0" collapsed="false">
      <c r="A54" s="35" t="s">
        <v>190</v>
      </c>
      <c r="B54" s="45" t="str">
        <f aca="false">VLOOKUP($A54,Questions!$A$2:$X$333,2,0)</f>
        <v>Have you implemented an intrusion detection system (network-based)?*</v>
      </c>
      <c r="C54" s="46"/>
      <c r="D54" s="81"/>
      <c r="E54" s="48" t="str">
        <f aca="false">IF($C$18="No",'Auto Responses'!$A$3,IF($C54="Yes",VLOOKUP($A54,Questions!$A$2:$X$333,17,0)&amp;"",IF($C54="No",VLOOKUP($A54,Questions!$A$2:$X$333,16,0)&amp;"",VLOOKUP($A54,Questions!$A$2:$X$333,15,0)&amp;"")))</f>
        <v>Based on the response to REQU-01 on the "START HERE" tab, this question does not apply to this product or service. </v>
      </c>
      <c r="F54" s="49" t="str">
        <f aca="false">VLOOKUP($A54,'Institution Evaluation'!$A$56:$F$346,6,0)&amp;""</f>
        <v/>
      </c>
      <c r="I54" s="5"/>
      <c r="J54" s="5"/>
    </row>
    <row r="55" s="1" customFormat="true" ht="38.25" hidden="false" customHeight="true" outlineLevel="0" collapsed="false">
      <c r="A55" s="35" t="s">
        <v>191</v>
      </c>
      <c r="B55" s="45" t="str">
        <f aca="false">VLOOKUP($A55,Questions!$A$2:$X$333,2,0)</f>
        <v>Do you employ host-based intrusion detection?*</v>
      </c>
      <c r="C55" s="46"/>
      <c r="D55" s="81"/>
      <c r="E55" s="48" t="str">
        <f aca="false">IF($C$18="No",'Auto Responses'!$A$3,IF($C55="Yes",VLOOKUP($A55,Questions!$A$2:$X$333,17,0)&amp;"",IF($C55="No",VLOOKUP($A55,Questions!$A$2:$X$333,16,0)&amp;"",IF($C55="N/A",VLOOKUP($A55,Questions!$A$2:$X$333,18,0)&amp;"",VLOOKUP($A55,Questions!$A$2:$X$333,15,0)&amp;""))))</f>
        <v>Based on the response to REQU-01 on the "START HERE" tab, this question does not apply to this product or service. </v>
      </c>
      <c r="F55" s="49" t="str">
        <f aca="false">VLOOKUP($A55,'Institution Evaluation'!$A$56:$F$346,6,0)&amp;""</f>
        <v/>
      </c>
      <c r="I55" s="5"/>
      <c r="J55" s="5"/>
    </row>
    <row r="56" s="1" customFormat="true" ht="38.25" hidden="false" customHeight="true" outlineLevel="0" collapsed="false">
      <c r="A56" s="35" t="s">
        <v>192</v>
      </c>
      <c r="B56" s="45" t="str">
        <f aca="false">VLOOKUP($A56,Questions!$A$2:$X$333,2,0)</f>
        <v>Are audit logs available for all changes to the network, firewall, IDS, and IPS systems?*</v>
      </c>
      <c r="C56" s="46"/>
      <c r="D56" s="81"/>
      <c r="E56" s="48" t="str">
        <f aca="false">IF($C$18="No",'Auto Responses'!$A$3,IF($C56="Yes",VLOOKUP($A56,Questions!$A$2:$X$333,17,0)&amp;"",IF($C56="No",VLOOKUP($A56,Questions!$A$2:$X$333,16,0)&amp;"",VLOOKUP($A56,Questions!$A$2:$X$333,15,0)&amp;"")))</f>
        <v>Based on the response to REQU-01 on the "START HERE" tab, this question does not apply to this product or service. </v>
      </c>
      <c r="F56" s="49" t="str">
        <f aca="false">VLOOKUP($A56,'Institution Evaluation'!$A$56:$F$346,6,0)&amp;""</f>
        <v/>
      </c>
      <c r="I56" s="5"/>
      <c r="J56" s="5"/>
    </row>
    <row r="57" s="1" customFormat="true" ht="48" hidden="false" customHeight="true" outlineLevel="0" collapsed="false">
      <c r="A57" s="35" t="s">
        <v>193</v>
      </c>
      <c r="B57" s="45" t="str">
        <f aca="false">VLOOKUP($A57,Questions!$A$2:$X$333,2,0)</f>
        <v>Is authority for firewall change approval documented? Please list approver names or titles in Additional Info.</v>
      </c>
      <c r="C57" s="46"/>
      <c r="D57" s="81"/>
      <c r="E57" s="48" t="str">
        <f aca="false">IF($C$18="No",'Auto Responses'!$A$3,IF($C57="Yes",VLOOKUP($A57,Questions!$A$2:$X$333,17,0)&amp;"",IF($C57="No",VLOOKUP($A57,Questions!$A$2:$X$333,16,0)&amp;"",VLOOKUP($A57,Questions!$A$2:$X$333,15,0)&amp;"")))</f>
        <v>Based on the response to REQU-01 on the "START HERE" tab, this question does not apply to this product or service. </v>
      </c>
      <c r="F57" s="49" t="str">
        <f aca="false">VLOOKUP($A57,'Institution Evaluation'!$A$56:$F$346,6,0)&amp;""</f>
        <v/>
      </c>
      <c r="I57" s="5"/>
      <c r="J57" s="5"/>
    </row>
    <row r="58" s="1" customFormat="true" ht="38.25" hidden="false" customHeight="true" outlineLevel="0" collapsed="false">
      <c r="A58" s="35" t="s">
        <v>194</v>
      </c>
      <c r="B58" s="45" t="str">
        <f aca="false">VLOOKUP($A58,Questions!$A$2:$X$333,2,0)</f>
        <v>Have you implemented an intrusion prevention system (network-based)?</v>
      </c>
      <c r="C58" s="46"/>
      <c r="D58" s="81"/>
      <c r="E58" s="48" t="str">
        <f aca="false">IF($C$18="No",'Auto Responses'!$A$3,IF($C58="Yes",VLOOKUP($A58,Questions!$A$2:$X$333,17,0)&amp;"",IF($C58="No",VLOOKUP($A58,Questions!$A$2:$X$333,16,0)&amp;"",VLOOKUP($A58,Questions!$A$2:$X$333,15,0)&amp;"")))</f>
        <v>Based on the response to REQU-01 on the "START HERE" tab, this question does not apply to this product or service. </v>
      </c>
      <c r="F58" s="49" t="str">
        <f aca="false">VLOOKUP($A58,'Institution Evaluation'!$A$56:$F$346,6,0)&amp;""</f>
        <v/>
      </c>
      <c r="I58" s="5"/>
      <c r="J58" s="5"/>
    </row>
    <row r="59" s="1" customFormat="true" ht="38.25" hidden="false" customHeight="true" outlineLevel="0" collapsed="false">
      <c r="A59" s="35" t="s">
        <v>195</v>
      </c>
      <c r="B59" s="45" t="str">
        <f aca="false">VLOOKUP($A59,Questions!$A$2:$X$333,2,0)</f>
        <v>Do you employ host-based intrusion prevention?</v>
      </c>
      <c r="C59" s="46"/>
      <c r="D59" s="81"/>
      <c r="E59" s="48" t="str">
        <f aca="false">IF($C$18="No",'Auto Responses'!$A$3,IF($C59="Yes",VLOOKUP($A59,Questions!$A$2:$X$333,17,0)&amp;"",IF($C59="No",VLOOKUP($A59,Questions!$A$2:$X$333,16,0)&amp;"",IF($C59="N/A",VLOOKUP($A59,Questions!$A$2:$X$333,18,0)&amp;"",VLOOKUP($A59,Questions!$A$2:$X$333,15,0)&amp;""))))</f>
        <v>Based on the response to REQU-01 on the "START HERE" tab, this question does not apply to this product or service. </v>
      </c>
      <c r="F59" s="49" t="str">
        <f aca="false">VLOOKUP($A59,'Institution Evaluation'!$A$56:$F$346,6,0)&amp;""</f>
        <v/>
      </c>
      <c r="I59" s="5"/>
      <c r="J59" s="5"/>
    </row>
    <row r="60" s="1" customFormat="true" ht="38.25" hidden="false" customHeight="true" outlineLevel="0" collapsed="false">
      <c r="A60" s="35" t="s">
        <v>196</v>
      </c>
      <c r="B60" s="45" t="str">
        <f aca="false">VLOOKUP($A60,Questions!$A$2:$X$333,2,0)</f>
        <v>Are you employing any next-generation persistent threat (NGPT) monitoring?</v>
      </c>
      <c r="C60" s="46"/>
      <c r="D60" s="81"/>
      <c r="E60" s="48" t="str">
        <f aca="false">IF($C$18="No",'Auto Responses'!$A$3,IF($C60="Yes",VLOOKUP($A60,Questions!$A$2:$X$333,17,0)&amp;"",IF($C60="No",VLOOKUP($A60,Questions!$A$2:$X$333,16,0)&amp;"",VLOOKUP($A60,Questions!$A$2:$X$333,15,0)&amp;"")))</f>
        <v>Based on the response to REQU-01 on the "START HERE" tab, this question does not apply to this product or service. </v>
      </c>
      <c r="F60" s="49" t="str">
        <f aca="false">VLOOKUP($A60,'Institution Evaluation'!$A$56:$F$346,6,0)&amp;""</f>
        <v/>
      </c>
      <c r="I60" s="5"/>
      <c r="J60" s="5"/>
    </row>
    <row r="61" s="1" customFormat="true" ht="60" hidden="false" customHeight="true" outlineLevel="0" collapsed="false">
      <c r="A61" s="35" t="s">
        <v>197</v>
      </c>
      <c r="B61" s="45" t="str">
        <f aca="false">VLOOKUP($A61,Questions!$A$2:$X$333,2,0)</f>
        <v>Is intrusion monitoring performed internally or by a third-party service?</v>
      </c>
      <c r="C61" s="46"/>
      <c r="D61" s="81"/>
      <c r="E61" s="48" t="str">
        <f aca="false">IF($C$18="No",'Auto Responses'!$A$3,IF($C61="Yes",VLOOKUP($A61,Questions!$A$2:$X$333,17,0)&amp;"",IF($C61="No",VLOOKUP($A61,Questions!$A$2:$X$333,16,0)&amp;"",VLOOKUP($A61,Questions!$A$2:$X$333,15,0)&amp;"")))</f>
        <v>Based on the response to REQU-01 on the "START HERE" tab, this question does not apply to this product or service. </v>
      </c>
      <c r="F61" s="49" t="str">
        <f aca="false">VLOOKUP($A61,'Institution Evaluation'!$A$56:$F$346,6,0)&amp;""</f>
        <v/>
      </c>
      <c r="I61" s="5"/>
      <c r="J61" s="5"/>
    </row>
    <row r="62" s="1" customFormat="true" ht="36" hidden="false" customHeight="true" outlineLevel="0" collapsed="false">
      <c r="A62" s="35" t="s">
        <v>198</v>
      </c>
      <c r="B62" s="45" t="str">
        <f aca="false">VLOOKUP($A62,Questions!$A$2:$X$333,2,0)</f>
        <v>Do you monitor for intrusions on a 24 x 7 x 365 basis?</v>
      </c>
      <c r="C62" s="46"/>
      <c r="D62" s="81"/>
      <c r="E62" s="48" t="str">
        <f aca="false">IF($C$18="No",'Auto Responses'!$A$3,IF($C62="Yes",VLOOKUP($A62,Questions!$A$2:$X$333,17,0)&amp;"",IF($C62="No",VLOOKUP($A62,Questions!$A$2:$X$333,16,0)&amp;"",VLOOKUP($A62,Questions!$A$2:$X$333,15,0)&amp;"")))</f>
        <v>Based on the response to REQU-01 on the "START HERE" tab, this question does not apply to this product or service. </v>
      </c>
      <c r="F62" s="49" t="str">
        <f aca="false">VLOOKUP($A62,'Institution Evaluation'!$A$56:$F$346,6,0)&amp;""</f>
        <v/>
      </c>
      <c r="G62" s="51" t="s">
        <v>37</v>
      </c>
      <c r="I62" s="5"/>
      <c r="J62" s="5"/>
    </row>
    <row r="63" s="1" customFormat="true" ht="36.75" hidden="false" customHeight="true" outlineLevel="0" collapsed="false">
      <c r="A63" s="31" t="str">
        <f aca="false">VLOOKUP(LEFT($A64,4),'Auto Responses'!$N$4:$O$38,2,0)&amp;""</f>
        <v> Incident Handling</v>
      </c>
      <c r="B63" s="42"/>
      <c r="C63" s="19" t="s">
        <v>21</v>
      </c>
      <c r="D63" s="19" t="s">
        <v>22</v>
      </c>
      <c r="E63" s="43" t="s">
        <v>23</v>
      </c>
      <c r="F63" s="52" t="s">
        <v>24</v>
      </c>
      <c r="I63" s="5"/>
      <c r="J63" s="5"/>
    </row>
    <row r="64" s="1" customFormat="true" ht="27" hidden="false" customHeight="true" outlineLevel="0" collapsed="false">
      <c r="A64" s="35" t="s">
        <v>199</v>
      </c>
      <c r="B64" s="45" t="str">
        <f aca="false">VLOOKUP($A64,Questions!$A$2:$X$333,2,0)</f>
        <v>Do you have a formal incident response plan?</v>
      </c>
      <c r="C64" s="46"/>
      <c r="D64" s="81"/>
      <c r="E64" s="48" t="str">
        <f aca="false">IF($C$18="No",'Auto Responses'!$A$3,IF($C64="Yes",VLOOKUP($A64,Questions!$A$2:$X$333,17,0)&amp;"",IF($C64="No",VLOOKUP($A64,Questions!$A$2:$X$333,16,0)&amp;"",VLOOKUP($A64,Questions!$A$2:$X$333,15,0)&amp;"")))</f>
        <v>Based on the response to REQU-01 on the "START HERE" tab, this question does not apply to this product or service. </v>
      </c>
      <c r="F64" s="49" t="str">
        <f aca="false">VLOOKUP($A64,'Institution Evaluation'!$A$56:$F$346,6,0)&amp;""</f>
        <v/>
      </c>
      <c r="I64" s="5"/>
      <c r="J64" s="5"/>
    </row>
    <row r="65" s="1" customFormat="true" ht="40.5" hidden="false" customHeight="true" outlineLevel="0" collapsed="false">
      <c r="A65" s="35" t="s">
        <v>200</v>
      </c>
      <c r="B65" s="45" t="str">
        <f aca="false">VLOOKUP($A65,Questions!$A$2:$X$333,2,0)</f>
        <v>Do you either have an internal incident response team or retain an external team?</v>
      </c>
      <c r="C65" s="46"/>
      <c r="D65" s="81"/>
      <c r="E65" s="48" t="str">
        <f aca="false">IF($C$18="No",'Auto Responses'!$A$3,IF($C65="Yes",VLOOKUP($A65,Questions!$A$2:$X$333,17,0)&amp;"",IF($C65="No",VLOOKUP($A65,Questions!$A$2:$X$333,16,0)&amp;"",VLOOKUP($A65,Questions!$A$2:$X$333,15,0)&amp;"")))</f>
        <v>Based on the response to REQU-01 on the "START HERE" tab, this question does not apply to this product or service. </v>
      </c>
      <c r="F65" s="49" t="str">
        <f aca="false">VLOOKUP($A65,'Institution Evaluation'!$A$56:$F$346,6,0)&amp;""</f>
        <v/>
      </c>
      <c r="I65" s="5"/>
      <c r="J65" s="5"/>
    </row>
    <row r="66" s="1" customFormat="true" ht="46.5" hidden="false" customHeight="true" outlineLevel="0" collapsed="false">
      <c r="A66" s="35" t="s">
        <v>201</v>
      </c>
      <c r="B66" s="45" t="str">
        <f aca="false">VLOOKUP($A66,Questions!$A$2:$X$333,2,0)</f>
        <v>Do you have the capability to respond to incidents on a 24 x 7 x 365 basis?</v>
      </c>
      <c r="C66" s="46"/>
      <c r="D66" s="81"/>
      <c r="E66" s="48" t="str">
        <f aca="false">IF($C$18="No",'Auto Responses'!$A$3,IF($C66="Yes",VLOOKUP($A66,Questions!$A$2:$X$333,17,0)&amp;"",IF($C66="No",VLOOKUP($A66,Questions!$A$2:$X$333,16,0)&amp;"",VLOOKUP($A66,Questions!$A$2:$X$333,15,0)&amp;"")))</f>
        <v>Based on the response to REQU-01 on the "START HERE" tab, this question does not apply to this product or service. </v>
      </c>
      <c r="F66" s="49" t="str">
        <f aca="false">VLOOKUP($A66,'Institution Evaluation'!$A$56:$F$346,6,0)&amp;""</f>
        <v/>
      </c>
      <c r="I66" s="5"/>
      <c r="J66" s="5"/>
    </row>
    <row r="67" s="1" customFormat="true" ht="48" hidden="false" customHeight="true" outlineLevel="0" collapsed="false">
      <c r="A67" s="35" t="s">
        <v>202</v>
      </c>
      <c r="B67" s="45" t="str">
        <f aca="false">VLOOKUP($A67,Questions!$A$2:$X$333,2,0)</f>
        <v>Do you carry cyber-risk insurance to protect against unforeseen service outages, data that is lost or stolen, and security incidents?</v>
      </c>
      <c r="C67" s="46"/>
      <c r="D67" s="81"/>
      <c r="E67" s="48" t="str">
        <f aca="false">IF($C$18="No",'Auto Responses'!$A$3,IF($C67="Yes",VLOOKUP($A67,Questions!$A$2:$X$333,17,0)&amp;"",IF($C67="No",VLOOKUP($A67,Questions!$A$2:$X$333,16,0)&amp;"",VLOOKUP($A67,Questions!$A$2:$X$333,15,0)&amp;"")))</f>
        <v>Based on the response to REQU-01 on the "START HERE" tab, this question does not apply to this product or service. </v>
      </c>
      <c r="F67" s="49" t="str">
        <f aca="false">VLOOKUP($A67,'Institution Evaluation'!$A$56:$F$346,6,0)&amp;""</f>
        <v/>
      </c>
      <c r="G67" s="51" t="s">
        <v>37</v>
      </c>
      <c r="I67" s="5"/>
      <c r="J67" s="5"/>
    </row>
    <row r="68" s="1" customFormat="true" ht="36.75" hidden="false" customHeight="true" outlineLevel="0" collapsed="false">
      <c r="A68" s="31" t="str">
        <f aca="false">VLOOKUP(LEFT($A69,4),'Auto Responses'!$N$4:$O$38,2,0)&amp;""</f>
        <v> Vulnerability Management</v>
      </c>
      <c r="B68" s="42"/>
      <c r="C68" s="19" t="s">
        <v>21</v>
      </c>
      <c r="D68" s="19" t="s">
        <v>22</v>
      </c>
      <c r="E68" s="43" t="s">
        <v>23</v>
      </c>
      <c r="F68" s="52" t="s">
        <v>24</v>
      </c>
      <c r="I68" s="5"/>
      <c r="J68" s="5"/>
    </row>
    <row r="69" s="1" customFormat="true" ht="60.75" hidden="false" customHeight="true" outlineLevel="0" collapsed="false">
      <c r="A69" s="35" t="s">
        <v>203</v>
      </c>
      <c r="B69" s="45" t="str">
        <f aca="false">VLOOKUP($A69,Questions!$A$2:$X$333,2,0)</f>
        <v>Are your systems and applications scanned with an authenticated user account for vulnerabilities (that are remediated) prior to new releases?*</v>
      </c>
      <c r="C69" s="46"/>
      <c r="D69" s="81"/>
      <c r="E69" s="48" t="str">
        <f aca="false">IF($C$18="No",'Auto Responses'!$A$3,IF($C69="Yes",VLOOKUP($A69,Questions!$A$2:$X$333,17,0)&amp;"",IF($C69="No",VLOOKUP($A69,Questions!$A$2:$X$333,16,0)&amp;"",VLOOKUP($A69,Questions!$A$2:$X$333,15,0)&amp;"")))</f>
        <v>Based on the response to REQU-01 on the "START HERE" tab, this question does not apply to this product or service. </v>
      </c>
      <c r="F69" s="49" t="str">
        <f aca="false">VLOOKUP($A69,'Institution Evaluation'!$A$56:$F$346,6,0)&amp;""</f>
        <v/>
      </c>
      <c r="I69" s="5"/>
      <c r="J69" s="5"/>
    </row>
    <row r="70" customFormat="false" ht="36.75" hidden="false" customHeight="true" outlineLevel="0" collapsed="false">
      <c r="A70" s="35" t="s">
        <v>204</v>
      </c>
      <c r="B70" s="45" t="str">
        <f aca="false">VLOOKUP($A70,Questions!$A$2:$X$333,2,0)</f>
        <v>Will you provide results of application and system vulnerability scans to the institution?*</v>
      </c>
      <c r="C70" s="46"/>
      <c r="D70" s="81"/>
      <c r="E70" s="48" t="str">
        <f aca="false">IF($C$18="No",'Auto Responses'!$A$3,IF($C70="Yes",VLOOKUP($A70,Questions!$A$2:$X$333,17,0)&amp;"",IF($C70="No",VLOOKUP($A70,Questions!$A$2:$X$333,16,0)&amp;"",VLOOKUP($A70,Questions!$A$2:$X$333,15,0)&amp;"")))</f>
        <v>Based on the response to REQU-01 on the "START HERE" tab, this question does not apply to this product or service. </v>
      </c>
      <c r="F70" s="49" t="str">
        <f aca="false">VLOOKUP($A70,'Institution Evaluation'!$A$56:$F$346,6,0)&amp;""</f>
        <v/>
      </c>
    </row>
    <row r="71" customFormat="false" ht="51.75" hidden="false" customHeight="true" outlineLevel="0" collapsed="false">
      <c r="A71" s="35" t="s">
        <v>205</v>
      </c>
      <c r="B71" s="45" t="str">
        <f aca="false">VLOOKUP($A71,Questions!$A$2:$X$333,2,0)</f>
        <v>Will you allow the institution to perform its own vulnerability testing and/or scanning of your systems and/or application, provided that testing is performed at a mutually agreed upon time and date?*</v>
      </c>
      <c r="C71" s="46"/>
      <c r="D71" s="81" t="s">
        <v>206</v>
      </c>
      <c r="E71" s="48" t="str">
        <f aca="false">IF($C$18="No",'Auto Responses'!$A$3,IF($C71="Yes",VLOOKUP($A71,Questions!$A$2:$X$333,17,0)&amp;"",IF($C71="No",VLOOKUP($A71,Questions!$A$2:$X$333,16,0)&amp;"",VLOOKUP($A71,Questions!$A$2:$X$333,15,0)&amp;"")))</f>
        <v>Based on the response to REQU-01 on the "START HERE" tab, this question does not apply to this product or service. </v>
      </c>
      <c r="F71" s="49" t="str">
        <f aca="false">VLOOKUP($A71,'Institution Evaluation'!$A$56:$F$346,6,0)&amp;""</f>
        <v/>
      </c>
    </row>
    <row r="72" customFormat="false" ht="54" hidden="false" customHeight="true" outlineLevel="0" collapsed="false">
      <c r="A72" s="35" t="s">
        <v>207</v>
      </c>
      <c r="B72" s="45" t="str">
        <f aca="false">VLOOKUP($A72,Questions!$A$2:$X$333,2,0)</f>
        <v>Have your systems and applications had a third-party security assessment completed in the last year?</v>
      </c>
      <c r="C72" s="46"/>
      <c r="D72" s="81" t="s">
        <v>208</v>
      </c>
      <c r="E72" s="48" t="str">
        <f aca="false">IF($C$18="No",'Auto Responses'!$A$3,IF($C72="Yes",VLOOKUP($A72,Questions!$A$2:$X$333,17,0)&amp;"",IF($C72="No",VLOOKUP($A72,Questions!$A$2:$X$333,16,0)&amp;"",VLOOKUP($A72,Questions!$A$2:$X$333,15,0)&amp;"")))</f>
        <v>Based on the response to REQU-01 on the "START HERE" tab, this question does not apply to this product or service. </v>
      </c>
      <c r="F72" s="49" t="str">
        <f aca="false">VLOOKUP($A72,'Institution Evaluation'!$A$56:$F$346,6,0)&amp;""</f>
        <v/>
      </c>
    </row>
    <row r="73" customFormat="false" ht="60" hidden="false" customHeight="true" outlineLevel="0" collapsed="false">
      <c r="A73" s="35" t="s">
        <v>209</v>
      </c>
      <c r="B73" s="45" t="str">
        <f aca="false">VLOOKUP($A73,Questions!$A$2:$X$333,2,0)</f>
        <v>Do you regularly scan for common web application security vulnerabilities (e.g., SQL injection, XSS, XSRF, etc.)?</v>
      </c>
      <c r="C73" s="46"/>
      <c r="D73" s="81" t="s">
        <v>210</v>
      </c>
      <c r="E73" s="48" t="str">
        <f aca="false">IF($C$18="No",'Auto Responses'!$A$3,IF($C73="Yes",VLOOKUP($A73,Questions!$A$2:$X$333,17,0)&amp;"",IF($C73="No",VLOOKUP($A73,Questions!$A$2:$X$333,16,0)&amp;"",VLOOKUP($A73,Questions!$A$2:$X$333,15,0)&amp;"")))</f>
        <v>Based on the response to REQU-01 on the "START HERE" tab, this question does not apply to this product or service. </v>
      </c>
      <c r="F73" s="49" t="str">
        <f aca="false">VLOOKUP($A73,'Institution Evaluation'!$A$56:$F$346,6,0)&amp;""</f>
        <v/>
      </c>
    </row>
    <row r="74" customFormat="false" ht="56.25" hidden="false" customHeight="true" outlineLevel="0" collapsed="false">
      <c r="A74" s="35" t="s">
        <v>211</v>
      </c>
      <c r="B74" s="45" t="str">
        <f aca="false">VLOOKUP($A74,Questions!$A$2:$X$333,2,0)</f>
        <v>Are your systems and applications regularly scanned externally for vulnerabilities?</v>
      </c>
      <c r="C74" s="46"/>
      <c r="D74" s="81"/>
      <c r="E74" s="48" t="str">
        <f aca="false">IF($C$18="No",'Auto Responses'!$A$3,IF($C74="Yes",VLOOKUP($A74,Questions!$A$2:$X$333,17,0)&amp;"",IF($C74="No",VLOOKUP($A74,Questions!$A$2:$X$333,16,0)&amp;"",VLOOKUP($A74,Questions!$A$2:$X$333,15,0)&amp;"")))</f>
        <v>Based on the response to REQU-01 on the "START HERE" tab, this question does not apply to this product or service. </v>
      </c>
      <c r="F74" s="49" t="str">
        <f aca="false">VLOOKUP($A74,'Institution Evaluation'!$A$56:$F$346,6,0)&amp;""</f>
        <v/>
      </c>
      <c r="G74" s="51" t="s">
        <v>37</v>
      </c>
      <c r="H74" s="5"/>
      <c r="I74" s="1"/>
      <c r="J74" s="1"/>
    </row>
    <row r="75" customFormat="false" ht="36.75" hidden="false" customHeight="true" outlineLevel="0" collapsed="false">
      <c r="A75" s="61" t="s">
        <v>50</v>
      </c>
      <c r="B75" s="56"/>
      <c r="C75" s="57"/>
      <c r="D75" s="83"/>
      <c r="E75" s="59"/>
      <c r="F75" s="60"/>
      <c r="G75" s="51"/>
      <c r="H75" s="5"/>
      <c r="I75" s="1"/>
      <c r="J75" s="1"/>
    </row>
    <row r="76" customFormat="false" ht="15" hidden="true" customHeight="true" outlineLevel="0" collapsed="false"/>
    <row r="77" customFormat="false" ht="15" hidden="true" customHeight="true" outlineLevel="0" collapsed="false">
      <c r="A77" s="1"/>
      <c r="B77" s="2"/>
      <c r="C77" s="76"/>
      <c r="D77" s="4"/>
      <c r="E77" s="1"/>
      <c r="H77" s="5"/>
      <c r="I77" s="1"/>
      <c r="J77" s="1"/>
      <c r="L77" s="60"/>
    </row>
    <row r="78" customFormat="false" ht="16.4" hidden="true" customHeight="false" outlineLevel="0" collapsed="false">
      <c r="A78" s="35" t="e">
        <f aca="false">#REF!</f>
        <v>#REF!</v>
      </c>
    </row>
    <row r="79" customFormat="false" ht="16.4" hidden="true" customHeight="false" outlineLevel="0" collapsed="false">
      <c r="A79" s="35" t="e">
        <f aca="false">#REF!</f>
        <v>#REF!</v>
      </c>
    </row>
    <row r="80" customFormat="false" ht="16.4" hidden="true" customHeight="false" outlineLevel="0" collapsed="false">
      <c r="A80" s="35" t="e">
        <f aca="false">#REF!</f>
        <v>#REF!</v>
      </c>
    </row>
    <row r="81" customFormat="false" ht="16.4" hidden="true" customHeight="false" outlineLevel="0" collapsed="false">
      <c r="A81" s="35" t="e">
        <f aca="false">#REF!</f>
        <v>#REF!</v>
      </c>
    </row>
    <row r="82" customFormat="false" ht="16.4" hidden="true" customHeight="false" outlineLevel="0" collapsed="false">
      <c r="A82" s="35" t="e">
        <f aca="false">#REF!</f>
        <v>#REF!</v>
      </c>
    </row>
    <row r="83" customFormat="false" ht="16.4" hidden="true" customHeight="false" outlineLevel="0" collapsed="false">
      <c r="A83" s="35" t="e">
        <f aca="false">#REF!</f>
        <v>#REF!</v>
      </c>
    </row>
    <row r="84" customFormat="false" ht="16.4" hidden="true" customHeight="false" outlineLevel="0" collapsed="false">
      <c r="A84" s="35" t="e">
        <f aca="false">#REF!</f>
        <v>#REF!</v>
      </c>
    </row>
  </sheetData>
  <dataValidations count="5">
    <dataValidation allowBlank="true" errorStyle="stop" operator="between" prompt="The HECVAT is built using a number of complex formulas. Editing this cell can break the functionality of the tool. " promptTitle="Warning!" showDropDown="false" showErrorMessage="true" showInputMessage="true" sqref="B2:F2 A3:B75 D3:F3 C4:F12 C17:F17 E18:F18 C19:F19 E20:F33 C34:F34 E35:F50 C51:F51 E52:F62 C63:F63 E64:F67 C68:F68 E69:F74" type="none">
      <formula1>0</formula1>
      <formula2>0</formula2>
    </dataValidation>
    <dataValidation allowBlank="true" errorStyle="stop" operator="between" prompt="This answer has been populated from the &quot;START HERE&quot; tab and does not need to be re-entered." showDropDown="false" showErrorMessage="true" showInputMessage="true" sqref="C3 C13:C16 C18" type="none">
      <formula1>0</formula1>
      <formula2>0</formula2>
    </dataValidation>
    <dataValidation allowBlank="true" errorStyle="stop" operator="between" showDropDown="false" showErrorMessage="true" showInputMessage="true" sqref="C32" type="list">
      <formula1>'Auto Responses'!$J$3:$J$5</formula1>
      <formula2>0</formula2>
    </dataValidation>
    <dataValidation allowBlank="true" errorStyle="stop" operator="between" showDropDown="false" showErrorMessage="true" showInputMessage="true" sqref="C35" type="list">
      <formula1>'Auto Responses'!$J$17:$J$23</formula1>
      <formula2>0</formula2>
    </dataValidation>
    <dataValidation allowBlank="true" errorStyle="stop" operator="between" showDropDown="false" showErrorMessage="true" showInputMessage="true" sqref="C21:C31 C33 C36:C50 C52:C62 C64:C67 C69:C75" type="list">
      <formula1>'Auto Responses'!$J$3:$J$4</formula1>
      <formula2>0</formula2>
    </dataValidation>
  </dataValidations>
  <hyperlinks>
    <hyperlink ref="A11" r:id="rId1" display="http://www.educause.edu/HECVAT"/>
    <hyperlink ref="D72" r:id="rId2" display="https://fr.ntc.swiss/hubfs/ntc-test-report-qgis.pdf"/>
  </hyperlinks>
  <printOptions headings="false" gridLines="false" gridLinesSet="true" horizontalCentered="false" verticalCentered="false"/>
  <pageMargins left="0.75" right="0.75" top="1" bottom="1"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&amp;L&amp;"Arial,Regular"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636C"/>
    <pageSetUpPr fitToPage="false"/>
  </sheetPr>
  <dimension ref="A1:J47"/>
  <sheetViews>
    <sheetView showFormulas="false" showGridLines="false" showRowColHeaders="true" showZeros="false" rightToLeft="false" tabSelected="false" showOutlineSymbols="true" defaultGridColor="true" view="normal" topLeftCell="A36" colorId="64" zoomScale="95" zoomScaleNormal="95" zoomScalePageLayoutView="100" workbookViewId="0">
      <selection pane="topLeft" activeCell="D1048576" activeCellId="0" sqref="D1048576"/>
    </sheetView>
  </sheetViews>
  <sheetFormatPr defaultColWidth="6.6015625" defaultRowHeight="12.8" customHeight="true" zeroHeight="true" outlineLevelRow="0" outlineLevelCol="0"/>
  <cols>
    <col collapsed="false" customWidth="true" hidden="false" outlineLevel="0" max="1" min="1" style="0" width="8.3"/>
    <col collapsed="false" customWidth="true" hidden="false" outlineLevel="0" max="2" min="2" style="1" width="55.1"/>
    <col collapsed="false" customWidth="true" hidden="false" outlineLevel="0" max="3" min="3" style="2" width="18.9"/>
    <col collapsed="false" customWidth="true" hidden="false" outlineLevel="0" max="4" min="4" style="3" width="55.7"/>
    <col collapsed="false" customWidth="true" hidden="false" outlineLevel="0" max="5" min="5" style="4" width="32"/>
    <col collapsed="false" customWidth="true" hidden="false" outlineLevel="0" max="6" min="6" style="1" width="30.7"/>
    <col collapsed="false" customWidth="true" hidden="false" outlineLevel="0" max="7" min="7" style="1" width="18.1"/>
    <col collapsed="false" customWidth="true" hidden="true" outlineLevel="0" max="8" min="8" style="1" width="18.1"/>
    <col collapsed="false" customWidth="true" hidden="true" outlineLevel="0" max="10" min="9" style="5" width="18.1"/>
    <col collapsed="false" customWidth="true" hidden="true" outlineLevel="0" max="11" min="11" style="1" width="4.5"/>
    <col collapsed="false" customWidth="false" hidden="true" outlineLevel="0" max="12" min="12" style="1" width="6.6"/>
    <col collapsed="false" customWidth="false" hidden="true" outlineLevel="0" max="16384" min="13" style="0" width="6.6"/>
  </cols>
  <sheetData>
    <row r="1" customFormat="false" ht="231.3" hidden="true" customHeight="false" outlineLevel="0" collapsed="false">
      <c r="A1" s="0" t="s">
        <v>0</v>
      </c>
    </row>
    <row r="2" customFormat="false" ht="36" hidden="false" customHeight="true" outlineLevel="0" collapsed="false">
      <c r="A2" s="7" t="s">
        <v>212</v>
      </c>
      <c r="B2" s="7"/>
      <c r="C2" s="8"/>
      <c r="D2" s="9"/>
      <c r="E2" s="10"/>
      <c r="F2" s="10" t="str">
        <f aca="false">'Auto Responses'!$A$36</f>
        <v>Version 4.1.2</v>
      </c>
      <c r="J2" s="1"/>
    </row>
    <row r="3" s="1" customFormat="true" ht="28.5" hidden="false" customHeight="true" outlineLevel="0" collapsed="false">
      <c r="A3" s="11" t="s">
        <v>2</v>
      </c>
      <c r="B3" s="12"/>
      <c r="C3" s="62" t="n">
        <f aca="false">'START HERE'!$C$3</f>
        <v>0</v>
      </c>
      <c r="D3" s="14"/>
      <c r="E3" s="15"/>
      <c r="F3" s="16"/>
      <c r="I3" s="5"/>
    </row>
    <row r="4" s="1" customFormat="true" ht="36" hidden="false" customHeight="true" outlineLevel="0" collapsed="false">
      <c r="A4" s="17" t="s">
        <v>3</v>
      </c>
      <c r="B4" s="18"/>
      <c r="C4" s="19"/>
      <c r="D4" s="20"/>
      <c r="E4" s="21"/>
      <c r="F4" s="21"/>
      <c r="I4" s="5"/>
    </row>
    <row r="5" s="1" customFormat="true" ht="19.5" hidden="false" customHeight="true" outlineLevel="0" collapsed="false">
      <c r="A5" s="22" t="str">
        <f aca="false">HLOOKUP($A$4,'Auto Responses'!$D$2:$D$8,2,0)&amp;""</f>
        <v>1. Complete the "Start Here" tab and review the "Required Questions" guidance to find the other sections are required for your product or service.</v>
      </c>
      <c r="B5" s="23"/>
      <c r="C5" s="24"/>
      <c r="D5" s="25"/>
      <c r="E5" s="23"/>
      <c r="F5" s="26"/>
      <c r="I5" s="5"/>
    </row>
    <row r="6" s="1" customFormat="true" ht="19.5" hidden="false" customHeight="true" outlineLevel="0" collapsed="false">
      <c r="A6" s="22" t="str">
        <f aca="false">HLOOKUP($A$4,'Auto Responses'!$D$2:$D$8,3,0)&amp;""</f>
        <v>2. Complete the "Organization" tab and the applicable questions in each of the next 5 tabs (Product through Privacy) that apply, based on your answers to the "Required Questions."</v>
      </c>
      <c r="B6" s="23"/>
      <c r="C6" s="24"/>
      <c r="D6" s="25"/>
      <c r="E6" s="23"/>
      <c r="F6" s="27"/>
      <c r="I6" s="5"/>
    </row>
    <row r="7" s="1" customFormat="true" ht="19.5" hidden="false" customHeight="true" outlineLevel="0" collapsed="false">
      <c r="A7" s="22" t="str">
        <f aca="false">HLOOKUP($A$4,'Auto Responses'!$D$2:$D$8,4,0)&amp;""</f>
        <v>3. Guidance in column E may change based on your answers to prompt details in "Additional Information." If leaving an answer blank, you must also state why in "Additional Information". </v>
      </c>
      <c r="B7" s="23"/>
      <c r="C7" s="24"/>
      <c r="D7" s="25"/>
      <c r="E7" s="23"/>
      <c r="F7" s="27"/>
      <c r="I7" s="5"/>
    </row>
    <row r="8" s="1" customFormat="true" ht="19.5" hidden="false" customHeight="true" outlineLevel="0" collapsed="false">
      <c r="A8" s="22" t="str">
        <f aca="false">HLOOKUP($A$4,'Auto Responses'!$D$2:$D$8,5,0)&amp;""</f>
        <v>4. DO NOT complete any fields in the "Evaluation" sheets or the "Analyst Notes" column.</v>
      </c>
      <c r="B8" s="23"/>
      <c r="C8" s="24"/>
      <c r="D8" s="25"/>
      <c r="E8" s="23"/>
      <c r="F8" s="27"/>
      <c r="I8" s="5"/>
    </row>
    <row r="9" s="1" customFormat="true" ht="19.5" hidden="false" customHeight="true" outlineLevel="0" collapsed="false">
      <c r="A9" s="22" t="str">
        <f aca="false">HLOOKUP($A$4,'Auto Responses'!$D$2:$D$8,6,0)&amp;""</f>
        <v>5. Return the completed file to institutions.</v>
      </c>
      <c r="B9" s="23"/>
      <c r="C9" s="24"/>
      <c r="D9" s="25"/>
      <c r="E9" s="23"/>
      <c r="F9" s="27"/>
      <c r="I9" s="5"/>
    </row>
    <row r="10" s="1" customFormat="true" ht="19.5" hidden="false" customHeight="true" outlineLevel="0" collapsed="false">
      <c r="A10" s="28" t="str">
        <f aca="false">HLOOKUP($A$4,'Auto Responses'!$D$2:$D$8,7,0)&amp;""</f>
        <v>* Denotes critical questions. Critical questions are those deemed most important to institutions by higher education volunteers.</v>
      </c>
      <c r="B10" s="23"/>
      <c r="C10" s="24"/>
      <c r="D10" s="25"/>
      <c r="E10" s="23"/>
      <c r="F10" s="27"/>
      <c r="I10" s="5"/>
    </row>
    <row r="11" s="1" customFormat="true" ht="19.5" hidden="false" customHeight="true" outlineLevel="0" collapsed="false">
      <c r="A11" s="29" t="str">
        <f aca="false">HLOOKUP($A$4,'Auto Responses'!$D$2:$D$9,8,0)&amp;""</f>
        <v>For full instructions, please visit educause.edu/HECVAT</v>
      </c>
      <c r="B11" s="23"/>
      <c r="C11" s="24"/>
      <c r="D11" s="25"/>
      <c r="E11" s="23"/>
      <c r="F11" s="30"/>
      <c r="I11" s="5"/>
    </row>
    <row r="12" s="1" customFormat="true" ht="36" hidden="false" customHeight="true" outlineLevel="0" collapsed="false">
      <c r="A12" s="31" t="str">
        <f aca="false">VLOOKUP(LEFT($A13,4),'Auto Responses'!$N$4:$O$38,2,0)&amp;""</f>
        <v> General Information</v>
      </c>
      <c r="B12" s="18"/>
      <c r="C12" s="19" t="s">
        <v>21</v>
      </c>
      <c r="D12" s="33"/>
      <c r="E12" s="34"/>
      <c r="F12" s="34"/>
      <c r="I12" s="5"/>
      <c r="J12" s="5"/>
    </row>
    <row r="13" s="1" customFormat="true" ht="21.75" hidden="false" customHeight="true" outlineLevel="0" collapsed="false">
      <c r="A13" s="35" t="s">
        <v>4</v>
      </c>
      <c r="B13" s="36" t="str">
        <f aca="false">VLOOKUP($A13,Questions!$A$2:$X$333,2,0)&amp;""</f>
        <v>Solution Provider Name</v>
      </c>
      <c r="C13" s="37" t="str">
        <f aca="false">VLOOKUP($A13,'START HERE'!$A$13:$C$21,3,0)&amp;""</f>
        <v>QGIS.org</v>
      </c>
      <c r="D13" s="38"/>
      <c r="E13" s="38"/>
      <c r="F13" s="16"/>
      <c r="I13" s="5"/>
      <c r="J13" s="5"/>
    </row>
    <row r="14" s="1" customFormat="true" ht="21.75" hidden="false" customHeight="true" outlineLevel="0" collapsed="false">
      <c r="A14" s="35" t="s">
        <v>6</v>
      </c>
      <c r="B14" s="36" t="str">
        <f aca="false">VLOOKUP($A14,Questions!$A$2:$X$333,2,0)&amp;""</f>
        <v>Solution Name</v>
      </c>
      <c r="C14" s="37" t="str">
        <f aca="false">VLOOKUP($A14,'START HERE'!$A$13:$C$21,3,0)&amp;""</f>
        <v>QGIS.org</v>
      </c>
      <c r="D14" s="38"/>
      <c r="E14" s="38"/>
      <c r="F14" s="16"/>
      <c r="I14" s="5"/>
      <c r="J14" s="5"/>
    </row>
    <row r="15" s="1" customFormat="true" ht="21.75" hidden="false" customHeight="true" outlineLevel="0" collapsed="false">
      <c r="A15" s="35" t="s">
        <v>7</v>
      </c>
      <c r="B15" s="36" t="str">
        <f aca="false">VLOOKUP($A15,Questions!$A$2:$X$333,2,0)&amp;""</f>
        <v>Solution Description</v>
      </c>
      <c r="C15" s="37" t="str">
        <f aca="false">VLOOKUP($A15,'START HERE'!$A$13:$C$21,3,0)&amp;""</f>
        <v>QGIS is a free and open source Geographic information system, running on Windows, MacOS, Linux and with solution for mobile OS.</v>
      </c>
      <c r="D15" s="38"/>
      <c r="E15" s="38"/>
      <c r="F15" s="16"/>
      <c r="I15" s="5"/>
      <c r="J15" s="5"/>
    </row>
    <row r="16" s="1" customFormat="true" ht="21.75" hidden="false" customHeight="true" outlineLevel="0" collapsed="false">
      <c r="A16" s="35" t="s">
        <v>17</v>
      </c>
      <c r="B16" s="36" t="str">
        <f aca="false">VLOOKUP($A16,Questions!$A$2:$X$333,2,0)&amp;""</f>
        <v>Country of Company Headquarters</v>
      </c>
      <c r="C16" s="37" t="str">
        <f aca="false">VLOOKUP($A16,'START HERE'!$A$13:$C$21,3,0)&amp;""</f>
        <v>Switzerland</v>
      </c>
      <c r="D16" s="38"/>
      <c r="E16" s="38"/>
      <c r="F16" s="16"/>
      <c r="I16" s="5"/>
      <c r="J16" s="5"/>
    </row>
    <row r="17" s="1" customFormat="true" ht="36.75" hidden="false" customHeight="true" outlineLevel="0" collapsed="false">
      <c r="A17" s="31" t="str">
        <f aca="false">VLOOKUP(LEFT($A18,4),'Auto Responses'!$N$4:$O$38,2,0)&amp;""</f>
        <v> Required Questions</v>
      </c>
      <c r="B17" s="42"/>
      <c r="C17" s="19" t="s">
        <v>21</v>
      </c>
      <c r="D17" s="19"/>
      <c r="E17" s="43" t="s">
        <v>23</v>
      </c>
      <c r="F17" s="52" t="s">
        <v>24</v>
      </c>
      <c r="I17" s="5"/>
      <c r="J17" s="5"/>
    </row>
    <row r="18" s="1" customFormat="true" ht="54" hidden="false" customHeight="true" outlineLevel="0" collapsed="false">
      <c r="A18" s="35" t="s">
        <v>40</v>
      </c>
      <c r="B18" s="45" t="str">
        <f aca="false">VLOOKUP($A18,Questions!$A$2:$X$333,2,0)</f>
        <v>Does your product or service have an interface?</v>
      </c>
      <c r="C18" s="74" t="str">
        <f aca="false">VLOOKUP($A18,'START HERE'!$A$23:$F$36,3,0)&amp;""</f>
        <v>Yes</v>
      </c>
      <c r="D18" s="75" t="str">
        <f aca="false">VLOOKUP($A18,'START HERE'!$A$23:$F$36,4,0)&amp;""</f>
        <v>Yes, Qt GUI, CLI</v>
      </c>
      <c r="E18" s="48" t="str">
        <f aca="false">IF($C18="Yes",VLOOKUP($A18,Questions!$A$2:$X$333,17,0)&amp;"",IF($C18="No",VLOOKUP($A18,Questions!$A$2:$X$333,16,0)&amp;"",VLOOKUP($A18,Questions!$A$2:$X$333,15,0)&amp;""))</f>
        <v>DO complete the IT Accessibility worksheet.</v>
      </c>
      <c r="F18" s="49" t="str">
        <f aca="false">VLOOKUP($A18,'Institution Evaluation'!$A$56:$F$346,6,0)&amp;""</f>
        <v/>
      </c>
      <c r="G18" s="51" t="s">
        <v>37</v>
      </c>
      <c r="I18" s="5"/>
      <c r="J18" s="5"/>
    </row>
    <row r="19" s="1" customFormat="true" ht="36.75" hidden="false" customHeight="true" outlineLevel="0" collapsed="false">
      <c r="A19" s="31" t="str">
        <f aca="false">VLOOKUP(LEFT($A20,4),'Auto Responses'!$N$4:$O$38,2,0)&amp;""</f>
        <v> IT Accessibility</v>
      </c>
      <c r="B19" s="42"/>
      <c r="C19" s="19" t="s">
        <v>21</v>
      </c>
      <c r="D19" s="19" t="s">
        <v>22</v>
      </c>
      <c r="E19" s="43" t="s">
        <v>23</v>
      </c>
      <c r="F19" s="52" t="s">
        <v>24</v>
      </c>
      <c r="I19" s="5"/>
      <c r="J19" s="5"/>
    </row>
    <row r="20" s="1" customFormat="true" ht="30" hidden="false" customHeight="true" outlineLevel="0" collapsed="false">
      <c r="A20" s="35" t="s">
        <v>213</v>
      </c>
      <c r="B20" s="45" t="str">
        <f aca="false">VLOOKUP($A20,Questions!$A$2:$X$333,2,0)</f>
        <v>Solution Provider Accessibility Contact Name</v>
      </c>
      <c r="C20" s="84" t="s">
        <v>214</v>
      </c>
      <c r="D20" s="47"/>
      <c r="E20" s="48" t="str">
        <f aca="false">IF($C$18="No",'Auto Responses'!$A$4,IF($C20="Yes",VLOOKUP($A20,Questions!$A$2:$X$333,17,0)&amp;"",IF($C20="No",VLOOKUP($A20,Questions!$A$2:$X$333,16,0)&amp;"",VLOOKUP($A20,Questions!$A$2:$X$333,15,0)&amp;"")))</f>
        <v/>
      </c>
      <c r="F20" s="49" t="str">
        <f aca="false">VLOOKUP($A20,'Institution Evaluation'!$A$56:$F$346,6,0)&amp;""</f>
        <v/>
      </c>
      <c r="I20" s="5"/>
      <c r="J20" s="5"/>
    </row>
    <row r="21" s="1" customFormat="true" ht="30" hidden="false" customHeight="true" outlineLevel="0" collapsed="false">
      <c r="A21" s="35" t="s">
        <v>215</v>
      </c>
      <c r="B21" s="45" t="str">
        <f aca="false">VLOOKUP($A21,Questions!$A$2:$X$333,2,0)</f>
        <v>Solution Provider Accessibility Contact Title</v>
      </c>
      <c r="C21" s="85" t="s">
        <v>214</v>
      </c>
      <c r="D21" s="47"/>
      <c r="E21" s="48" t="str">
        <f aca="false">IF($C$18="No",'Auto Responses'!$A$4,IF($C21="Yes",VLOOKUP($A21,Questions!$A$2:$X$333,17,0)&amp;"",IF($C21="No",VLOOKUP($A21,Questions!$A$2:$X$333,16,0)&amp;"",VLOOKUP($A21,Questions!$A$2:$X$333,15,0)&amp;"")))</f>
        <v/>
      </c>
      <c r="F21" s="49" t="str">
        <f aca="false">VLOOKUP($A21,'Institution Evaluation'!$A$56:$F$346,6,0)&amp;""</f>
        <v/>
      </c>
      <c r="I21" s="5"/>
      <c r="J21" s="5"/>
    </row>
    <row r="22" s="1" customFormat="true" ht="30" hidden="false" customHeight="true" outlineLevel="0" collapsed="false">
      <c r="A22" s="35" t="s">
        <v>216</v>
      </c>
      <c r="B22" s="45" t="str">
        <f aca="false">VLOOKUP($A22,Questions!$A$2:$X$333,2,0)</f>
        <v>Solution Provider Accessibility Contact Email</v>
      </c>
      <c r="C22" s="84"/>
      <c r="D22" s="47" t="s">
        <v>217</v>
      </c>
      <c r="E22" s="48" t="str">
        <f aca="false">IF($C$18="No",'Auto Responses'!$A$4,IF($C22="Yes",VLOOKUP($A22,Questions!$A$2:$X$333,17,0)&amp;"",IF($C22="No",VLOOKUP($A22,Questions!$A$2:$X$333,16,0)&amp;"",VLOOKUP($A22,Questions!$A$2:$X$333,15,0)&amp;"")))</f>
        <v/>
      </c>
      <c r="F22" s="49" t="str">
        <f aca="false">VLOOKUP($A22,'Institution Evaluation'!$A$56:$F$346,6,0)&amp;""</f>
        <v/>
      </c>
      <c r="I22" s="5"/>
      <c r="J22" s="5"/>
    </row>
    <row r="23" s="1" customFormat="true" ht="30" hidden="false" customHeight="true" outlineLevel="0" collapsed="false">
      <c r="A23" s="35" t="s">
        <v>218</v>
      </c>
      <c r="B23" s="45" t="str">
        <f aca="false">VLOOKUP($A23,Questions!$A$2:$X$333,2,0)</f>
        <v>Solution Provider Accessibility Contact Phone Number</v>
      </c>
      <c r="C23" s="84"/>
      <c r="D23" s="47"/>
      <c r="E23" s="48" t="str">
        <f aca="false">IF($C$18="No",'Auto Responses'!$A$4,IF($C23="Yes",VLOOKUP($A23,Questions!$A$2:$X$333,17,0)&amp;"",IF($C23="No",VLOOKUP($A23,Questions!$A$2:$X$333,16,0)&amp;"",VLOOKUP($A23,Questions!$A$2:$X$333,15,0)&amp;"")))</f>
        <v/>
      </c>
      <c r="F23" s="49" t="str">
        <f aca="false">VLOOKUP($A23,'Institution Evaluation'!$A$56:$F$346,6,0)&amp;""</f>
        <v/>
      </c>
      <c r="I23" s="5"/>
      <c r="J23" s="5"/>
    </row>
    <row r="24" s="1" customFormat="true" ht="30" hidden="false" customHeight="true" outlineLevel="0" collapsed="false">
      <c r="A24" s="35" t="s">
        <v>219</v>
      </c>
      <c r="B24" s="45" t="str">
        <f aca="false">VLOOKUP($A24,Questions!$A$2:$X$333,2,0)</f>
        <v>Web Link to Accessibility Statement or VPAT</v>
      </c>
      <c r="C24" s="84" t="s">
        <v>220</v>
      </c>
      <c r="D24" s="47"/>
      <c r="E24" s="48" t="str">
        <f aca="false">IF($C$18="No",'Auto Responses'!$A$4,IF($C24="Yes",VLOOKUP($A24,Questions!$A$2:$X$333,17,0)&amp;"",IF($C24="No",VLOOKUP($A24,Questions!$A$2:$X$333,16,0)&amp;"",VLOOKUP($A24,Questions!$A$2:$X$333,15,0)&amp;"")))</f>
        <v>VPAT can also be added as an attachment</v>
      </c>
      <c r="F24" s="49" t="str">
        <f aca="false">VLOOKUP($A24,'Institution Evaluation'!$A$56:$F$346,6,0)&amp;""</f>
        <v/>
      </c>
      <c r="I24" s="5"/>
      <c r="J24" s="5"/>
    </row>
    <row r="25" s="1" customFormat="true" ht="136.5" hidden="false" customHeight="true" outlineLevel="0" collapsed="false">
      <c r="A25" s="35" t="s">
        <v>221</v>
      </c>
      <c r="B25" s="45" t="str">
        <f aca="false">VLOOKUP($A25,Questions!$A$2:$X$333,2,0)</f>
        <v>Has a VPAT or ACR been created or updated for the solution and version under consideration within the past 12 months?*</v>
      </c>
      <c r="C25" s="46" t="s">
        <v>73</v>
      </c>
      <c r="D25" s="86" t="s">
        <v>222</v>
      </c>
      <c r="E25" s="48" t="str">
        <f aca="false">IF($C$18="No",'Auto Responses'!$A$4,IF($C25="Yes",VLOOKUP($A25,Questions!$A$2:$X$333,17,0)&amp;"",IF($C25="No",VLOOKUP($A25,Questions!$A$2:$X$333,16,0)&amp;"",VLOOKUP($A25,Questions!$A$2:$X$333,15,0)&amp;"")))</f>
        <v>State the date the VPAT was completed. Include this VPAT in your submission and/or link to its web location.</v>
      </c>
      <c r="F25" s="49" t="str">
        <f aca="false">VLOOKUP($A25,'Institution Evaluation'!$A$56:$F$346,6,0)&amp;""</f>
        <v/>
      </c>
      <c r="I25" s="5"/>
      <c r="J25" s="5"/>
    </row>
    <row r="26" s="1" customFormat="true" ht="82.5" hidden="false" customHeight="true" outlineLevel="0" collapsed="false">
      <c r="A26" s="35" t="s">
        <v>223</v>
      </c>
      <c r="B26" s="45" t="str">
        <f aca="false">VLOOKUP($A26,Questions!$A$2:$X$333,2,0)</f>
        <v>Will your company agree to meet your stated accessibility standard or WCAG 2.1 AA as part of your contractual agreement for the solution?*</v>
      </c>
      <c r="C26" s="46" t="s">
        <v>73</v>
      </c>
      <c r="D26" s="47"/>
      <c r="E26" s="48" t="str">
        <f aca="false">IF($C$18="No",'Auto Responses'!$A$4,IF($C26="Yes",VLOOKUP($A26,Questions!$A$2:$X$333,17,0)&amp;"",IF($C26="No",VLOOKUP($A26,Questions!$A$2:$X$333,16,0)&amp;"",VLOOKUP($A26,Questions!$A$2:$X$333,15,0)&amp;"")))</f>
        <v/>
      </c>
      <c r="F26" s="49" t="str">
        <f aca="false">VLOOKUP($A26,'Institution Evaluation'!$A$56:$F$346,6,0)&amp;""</f>
        <v/>
      </c>
      <c r="I26" s="5"/>
      <c r="J26" s="5"/>
    </row>
    <row r="27" s="1" customFormat="true" ht="161.25" hidden="false" customHeight="true" outlineLevel="0" collapsed="false">
      <c r="A27" s="35" t="s">
        <v>224</v>
      </c>
      <c r="B27" s="45" t="str">
        <f aca="false">VLOOKUP($A27,Questions!$A$2:$X$333,2,0)</f>
        <v>Does the solution substantially conform to WCAG 2.1 AA?*</v>
      </c>
      <c r="C27" s="46" t="s">
        <v>225</v>
      </c>
      <c r="D27" s="47" t="s">
        <v>226</v>
      </c>
      <c r="E27" s="48" t="str">
        <f aca="false">IF($C$18="No",'Auto Responses'!$A$4,IF($C27="Yes",VLOOKUP($A27,Questions!$A$2:$X$333,17,0)&amp;"",IF($C27="No",VLOOKUP($A27,Questions!$A$2:$X$333,16,0)&amp;"",VLOOKUP($A27,Questions!$A$2:$X$333,15,0)&amp;"")))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49" t="str">
        <f aca="false">VLOOKUP($A27,'Institution Evaluation'!$A$56:$F$346,6,0)&amp;""</f>
        <v/>
      </c>
      <c r="I27" s="5"/>
      <c r="J27" s="5"/>
    </row>
    <row r="28" s="1" customFormat="true" ht="104.25" hidden="false" customHeight="true" outlineLevel="0" collapsed="false">
      <c r="A28" s="35" t="s">
        <v>227</v>
      </c>
      <c r="B28" s="45" t="str">
        <f aca="false">VLOOKUP($A28,Questions!$A$2:$X$333,2,0)</f>
        <v>Do you have a documented and implemented process for reporting and tracking accessibility issues?*</v>
      </c>
      <c r="C28" s="46" t="s">
        <v>73</v>
      </c>
      <c r="D28" s="47" t="s">
        <v>228</v>
      </c>
      <c r="E28" s="48" t="str">
        <f aca="false">IF($C$18="No",'Auto Responses'!$A$4,IF($C28="Yes",VLOOKUP($A28,Questions!$A$2:$X$333,17,0)&amp;"",IF($C28="No",VLOOKUP($A28,Questions!$A$2:$X$333,16,0)&amp;"",VLOOKUP($A28,Questions!$A$2:$X$333,15,0)&amp;"")))</f>
        <v>Describe the process and any recent examples of fixes as a result of the process.</v>
      </c>
      <c r="F28" s="49" t="str">
        <f aca="false">VLOOKUP($A28,'Institution Evaluation'!$A$56:$F$346,6,0)&amp;""</f>
        <v/>
      </c>
      <c r="I28" s="5"/>
      <c r="J28" s="5"/>
    </row>
    <row r="29" s="1" customFormat="true" ht="104.25" hidden="false" customHeight="true" outlineLevel="0" collapsed="false">
      <c r="A29" s="35" t="s">
        <v>229</v>
      </c>
      <c r="B29" s="45" t="str">
        <f aca="false">VLOOKUP($A29,Questions!$A$2:$X$333,2,0)</f>
        <v>Do you have documentation to support the accessibility features of your solution?</v>
      </c>
      <c r="C29" s="46" t="s">
        <v>73</v>
      </c>
      <c r="D29" s="47" t="s">
        <v>230</v>
      </c>
      <c r="E29" s="48" t="str">
        <f aca="false">IF($C$18="No",'Auto Responses'!$A$4,IF($C29="Yes",VLOOKUP($A29,Questions!$A$2:$X$333,17,0)&amp;"",IF($C29="No",VLOOKUP($A29,Questions!$A$2:$X$333,16,0)&amp;"",VLOOKUP($A29,Questions!$A$2:$X$333,15,0)&amp;"")))</f>
        <v>Provide examples with links where possible.</v>
      </c>
      <c r="F29" s="49" t="str">
        <f aca="false">VLOOKUP($A29,'Institution Evaluation'!$A$56:$F$346,6,0)&amp;""</f>
        <v/>
      </c>
      <c r="I29" s="5"/>
      <c r="J29" s="5"/>
    </row>
    <row r="30" s="1" customFormat="true" ht="93.75" hidden="false" customHeight="true" outlineLevel="0" collapsed="false">
      <c r="A30" s="35" t="s">
        <v>231</v>
      </c>
      <c r="B30" s="45" t="str">
        <f aca="false">VLOOKUP($A30,Questions!$A$2:$X$333,2,0)</f>
        <v>Has a third-party expert conducted an audit of the most recent version of your solution?</v>
      </c>
      <c r="C30" s="46" t="s">
        <v>232</v>
      </c>
      <c r="D30" s="86" t="s">
        <v>233</v>
      </c>
      <c r="E30" s="48" t="str">
        <f aca="false">IF($C$18="No",'Auto Responses'!$A$4,IF($C30="Yes",VLOOKUP($A30,Questions!$A$2:$X$333,17,0)&amp;"",IF($C30="No",VLOOKUP($A30,Questions!$A$2:$X$333,16,0)&amp;"",VLOOKUP($A30,Questions!$A$2:$X$333,15,0)&amp;"")))</f>
        <v>Please provide plans (when and by whom) of any planned audit, or a rationale if no third-party audit is planned.</v>
      </c>
      <c r="F30" s="49" t="str">
        <f aca="false">VLOOKUP($A30,'Institution Evaluation'!$A$56:$F$346,6,0)&amp;""</f>
        <v/>
      </c>
      <c r="I30" s="5"/>
      <c r="J30" s="5"/>
    </row>
    <row r="31" s="1" customFormat="true" ht="120" hidden="false" customHeight="true" outlineLevel="0" collapsed="false">
      <c r="A31" s="35" t="s">
        <v>234</v>
      </c>
      <c r="B31" s="45" t="str">
        <f aca="false">VLOOKUP($A31,Questions!$A$2:$X$333,2,0)</f>
        <v>Do you have a documented and implemented process for verifying accessibility conformance?</v>
      </c>
      <c r="C31" s="46" t="s">
        <v>232</v>
      </c>
      <c r="D31" s="86" t="s">
        <v>233</v>
      </c>
      <c r="E31" s="48" t="str">
        <f aca="false">IF($C$18="No",'Auto Responses'!$A$4,IF($C31="Yes",VLOOKUP($A31,Questions!$A$2:$X$333,17,0)&amp;"",IF($C31="No",VLOOKUP($A31,Questions!$A$2:$X$333,16,0)&amp;"",VLOOKUP($A31,Questions!$A$2:$X$333,15,0)&amp;"")))</f>
        <v>Summarize how you ensure accessible solutions. Provide plans to develop documented processes to validate accessibility.</v>
      </c>
      <c r="F31" s="49" t="str">
        <f aca="false">VLOOKUP($A31,'Institution Evaluation'!$A$56:$F$346,6,0)&amp;""</f>
        <v/>
      </c>
      <c r="I31" s="5"/>
      <c r="J31" s="5"/>
    </row>
    <row r="32" s="1" customFormat="true" ht="108" hidden="false" customHeight="true" outlineLevel="0" collapsed="false">
      <c r="A32" s="35" t="s">
        <v>235</v>
      </c>
      <c r="B32" s="45" t="str">
        <f aca="false">VLOOKUP($A32,Questions!$A$2:$X$333,2,0)</f>
        <v>Have you adopted a technical or legal standard of conformance for the solution?</v>
      </c>
      <c r="C32" s="46" t="s">
        <v>232</v>
      </c>
      <c r="D32" s="86" t="s">
        <v>233</v>
      </c>
      <c r="E32" s="48" t="str">
        <f aca="false">IF($C$18="No",'Auto Responses'!$A$4,IF($C32="Yes",VLOOKUP($A32,Questions!$A$2:$X$333,17,0)&amp;"",IF($C32="No",VLOOKUP($A32,Questions!$A$2:$X$333,16,0)&amp;"",VLOOKUP($A32,Questions!$A$2:$X$333,15,0)&amp;"")))</f>
        <v>Summarize your decision to not adopt a technical or legal standard of conformance for the solution.</v>
      </c>
      <c r="F32" s="49" t="str">
        <f aca="false">VLOOKUP($A32,'Institution Evaluation'!$A$56:$F$346,6,0)&amp;""</f>
        <v/>
      </c>
      <c r="I32" s="5"/>
      <c r="J32" s="5"/>
    </row>
    <row r="33" customFormat="false" ht="228" hidden="false" customHeight="true" outlineLevel="0" collapsed="false">
      <c r="A33" s="35" t="s">
        <v>236</v>
      </c>
      <c r="B33" s="45" t="str">
        <f aca="false">VLOOKUP($A33,Questions!$A$2:$X$333,2,0)</f>
        <v>Can you provide a current, detailed accessibility roadmap with delivery timelines?</v>
      </c>
      <c r="C33" s="46" t="s">
        <v>232</v>
      </c>
      <c r="D33" s="47"/>
      <c r="E33" s="48" t="str">
        <f aca="false">IF($C$18="No",'Auto Responses'!$A$4,IF($C33="Yes",VLOOKUP($A33,Questions!$A$2:$X$333,17,0)&amp;"",IF($C33="No",VLOOKUP($A33,Questions!$A$2:$X$333,16,0)&amp;"",VLOOKUP($A33,Questions!$A$2:$X$333,15,0)&amp;"")))</f>
        <v>Please provide any plans to develop and share an accessibility roadmap in the future.</v>
      </c>
      <c r="F33" s="49" t="str">
        <f aca="false">VLOOKUP($A33,'Institution Evaluation'!$A$56:$F$346,6,0)&amp;""</f>
        <v/>
      </c>
    </row>
    <row r="34" customFormat="false" ht="213" hidden="false" customHeight="true" outlineLevel="0" collapsed="false">
      <c r="A34" s="35" t="s">
        <v>237</v>
      </c>
      <c r="B34" s="45" t="str">
        <f aca="false">VLOOKUP($A34,Questions!$A$2:$X$333,2,0)</f>
        <v>Do you expect your staff to maintain a current skill set in IT accessibility?</v>
      </c>
      <c r="C34" s="46" t="s">
        <v>232</v>
      </c>
      <c r="D34" s="47" t="s">
        <v>238</v>
      </c>
      <c r="E34" s="48" t="str">
        <f aca="false">IF($C$18="No",'Auto Responses'!$A$4,IF($C34="Yes",VLOOKUP($A34,Questions!$A$2:$X$333,17,0)&amp;"",IF($C34="No",VLOOKUP($A34,Questions!$A$2:$X$333,16,0)&amp;"",VLOOKUP($A34,Questions!$A$2:$X$333,15,0)&amp;"")))</f>
        <v>Describe any plans to ensure appropriate and ongoing staff knowledge about accessibility.</v>
      </c>
      <c r="F34" s="49" t="str">
        <f aca="false">VLOOKUP($A34,'Institution Evaluation'!$A$56:$F$346,6,0)&amp;""</f>
        <v/>
      </c>
    </row>
    <row r="35" customFormat="false" ht="213" hidden="false" customHeight="true" outlineLevel="0" collapsed="false">
      <c r="A35" s="35" t="s">
        <v>239</v>
      </c>
      <c r="B35" s="45" t="str">
        <f aca="false">VLOOKUP($A35,Questions!$A$2:$X$333,2,0)</f>
        <v>Do you have documented processes and procedures for implementing accessibility into your development lifecycle?</v>
      </c>
      <c r="C35" s="46" t="s">
        <v>232</v>
      </c>
      <c r="D35" s="47"/>
      <c r="E35" s="48" t="str">
        <f aca="false">IF($C$18="No",'Auto Responses'!$A$4,IF($C35="Yes",VLOOKUP($A35,Questions!$A$2:$X$333,17,0)&amp;"",IF($C35="No",VLOOKUP($A35,Questions!$A$2:$X$333,16,0)&amp;"",VLOOKUP($A35,Questions!$A$2:$X$333,15,0)&amp;"")))</f>
        <v>Describe any plans to update processes and procedures to better incorporate accessibility.</v>
      </c>
      <c r="F35" s="49" t="str">
        <f aca="false">VLOOKUP($A35,'Institution Evaluation'!$A$56:$F$346,6,0)&amp;""</f>
        <v/>
      </c>
    </row>
    <row r="36" customFormat="false" ht="38.25" hidden="false" customHeight="true" outlineLevel="0" collapsed="false">
      <c r="A36" s="35" t="s">
        <v>240</v>
      </c>
      <c r="B36" s="45" t="str">
        <f aca="false">VLOOKUP($A36,Questions!$A$2:$X$333,2,0)</f>
        <v>Can all functions of the application or service be performed using only the keyboard?</v>
      </c>
      <c r="C36" s="46" t="s">
        <v>73</v>
      </c>
      <c r="D36" s="47" t="s">
        <v>241</v>
      </c>
      <c r="E36" s="48" t="str">
        <f aca="false">IF($C$18="No",'Auto Responses'!$A$4,IF($C36="Yes",VLOOKUP($A36,Questions!$A$2:$X$333,17,0)&amp;"",IF($C36="No",VLOOKUP($A36,Questions!$A$2:$X$333,16,0)&amp;"",VLOOKUP($A36,Questions!$A$2:$X$333,15,0)&amp;"")))</f>
        <v>State when and on which platform this was verified.</v>
      </c>
      <c r="F36" s="49" t="str">
        <f aca="false">VLOOKUP($A36,'Institution Evaluation'!$A$56:$F$346,6,0)&amp;""</f>
        <v/>
      </c>
    </row>
    <row r="37" customFormat="false" ht="127.5" hidden="false" customHeight="true" outlineLevel="0" collapsed="false">
      <c r="A37" s="35" t="s">
        <v>242</v>
      </c>
      <c r="B37" s="45" t="str">
        <f aca="false">VLOOKUP($A37,Questions!$A$2:$X$333,2,0)</f>
        <v>Does your product rely on activating a special "accessibility mode," a "lite version," or using an alternate interface (including “overlay” or AI-based alternates)  for accessibility purposes?</v>
      </c>
      <c r="C37" s="46" t="s">
        <v>232</v>
      </c>
      <c r="D37" s="47" t="s">
        <v>243</v>
      </c>
      <c r="E37" s="48" t="str">
        <f aca="false">IF($C$18="No",'Auto Responses'!$A$4,IF($C37="Yes",VLOOKUP($A37,Questions!$A$2:$X$333,17,0)&amp;"",IF($C37="No",VLOOKUP($A37,Questions!$A$2:$X$333,16,0)&amp;"",VLOOKUP($A37,Questions!$A$2:$X$333,15,0)&amp;"")))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49" t="str">
        <f aca="false">VLOOKUP($A37,'Institution Evaluation'!$A$56:$F$346,6,0)&amp;""</f>
        <v/>
      </c>
      <c r="G37" s="51" t="s">
        <v>37</v>
      </c>
    </row>
    <row r="38" customFormat="false" ht="42" hidden="false" customHeight="true" outlineLevel="0" collapsed="false">
      <c r="A38" s="61" t="s">
        <v>50</v>
      </c>
      <c r="B38" s="56"/>
      <c r="C38" s="57"/>
      <c r="D38" s="58"/>
      <c r="E38" s="59"/>
      <c r="F38" s="60"/>
      <c r="G38" s="51"/>
    </row>
    <row r="39" customFormat="false" ht="15" hidden="true" customHeight="true" outlineLevel="0" collapsed="false">
      <c r="A39" s="1"/>
    </row>
    <row r="40" customFormat="false" ht="15" hidden="true" customHeight="true" outlineLevel="0" collapsed="false">
      <c r="A40" s="1"/>
      <c r="B40" s="2"/>
      <c r="C40" s="76"/>
      <c r="D40" s="4"/>
      <c r="E40" s="1"/>
      <c r="H40" s="5"/>
      <c r="I40" s="1"/>
      <c r="J40" s="1"/>
    </row>
    <row r="41" customFormat="false" ht="16.4" hidden="true" customHeight="false" outlineLevel="0" collapsed="false">
      <c r="A41" s="35" t="e">
        <f aca="false">#REF!</f>
        <v>#REF!</v>
      </c>
    </row>
    <row r="42" customFormat="false" ht="16.4" hidden="true" customHeight="false" outlineLevel="0" collapsed="false">
      <c r="A42" s="35" t="e">
        <f aca="false">#REF!</f>
        <v>#REF!</v>
      </c>
    </row>
    <row r="43" customFormat="false" ht="16.4" hidden="true" customHeight="false" outlineLevel="0" collapsed="false">
      <c r="A43" s="35" t="e">
        <f aca="false">#REF!</f>
        <v>#REF!</v>
      </c>
    </row>
    <row r="44" customFormat="false" ht="16.4" hidden="true" customHeight="false" outlineLevel="0" collapsed="false">
      <c r="A44" s="35" t="e">
        <f aca="false">#REF!</f>
        <v>#REF!</v>
      </c>
    </row>
    <row r="45" customFormat="false" ht="16.4" hidden="true" customHeight="false" outlineLevel="0" collapsed="false">
      <c r="A45" s="35" t="e">
        <f aca="false">#REF!</f>
        <v>#REF!</v>
      </c>
    </row>
    <row r="46" customFormat="false" ht="16.4" hidden="true" customHeight="false" outlineLevel="0" collapsed="false">
      <c r="A46" s="35" t="e">
        <f aca="false">#REF!</f>
        <v>#REF!</v>
      </c>
    </row>
    <row r="47" customFormat="false" ht="16.4" hidden="true" customHeight="false" outlineLevel="0" collapsed="false">
      <c r="A47" s="35" t="e">
        <f aca="false">#REF!</f>
        <v>#REF!</v>
      </c>
    </row>
  </sheetData>
  <dataValidations count="4">
    <dataValidation allowBlank="true" errorStyle="stop" operator="between" prompt="The HECVAT is built using a number of complex formulas. Editing this cell can break the functionality of the tool. " promptTitle="Warning!" showDropDown="false" showErrorMessage="true" showInputMessage="true" sqref="B2:F2 A3:B38 D3:F3 C4:F12 D13:F16 C17:F17 E18:F18 C19:F19 E20:F37" type="none">
      <formula1>0</formula1>
      <formula2>0</formula2>
    </dataValidation>
    <dataValidation allowBlank="true" errorStyle="stop" operator="between" prompt="This answer has been populated from the &quot;START HERE&quot; tab and does not need to be re-entered." showDropDown="false" showErrorMessage="true" showInputMessage="true" sqref="C3 C13:C16 C18" type="none">
      <formula1>0</formula1>
      <formula2>0</formula2>
    </dataValidation>
    <dataValidation allowBlank="true" errorStyle="stop" operator="between" prompt="This cell should be left blank. Input your answer in column C." showDropDown="false" showErrorMessage="true" showInputMessage="true" sqref="D20:D24" type="none">
      <formula1>0</formula1>
      <formula2>0</formula2>
    </dataValidation>
    <dataValidation allowBlank="true" errorStyle="stop" operator="between" showDropDown="false" showErrorMessage="true" showInputMessage="true" sqref="C25:C38" type="list">
      <formula1>'Auto Responses'!$J$3:$J$4</formula1>
      <formula2>0</formula2>
    </dataValidation>
  </dataValidations>
  <hyperlinks>
    <hyperlink ref="A11" r:id="rId1" display="http://www.educause.edu/HECVAT"/>
  </hyperlinks>
  <printOptions headings="false" gridLines="false" gridLinesSet="true" horizontalCentered="false" verticalCentered="false"/>
  <pageMargins left="0.75" right="0.75" top="1" bottom="1"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&amp;L&amp;"Arial,Regular"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636C"/>
    <pageSetUpPr fitToPage="false"/>
  </sheetPr>
  <dimension ref="A1:J94"/>
  <sheetViews>
    <sheetView showFormulas="false" showGridLines="false" showRowColHeaders="true" showZeros="false" rightToLeft="false" tabSelected="false" showOutlineSymbols="true" defaultGridColor="true" view="normal" topLeftCell="A61" colorId="64" zoomScale="95" zoomScaleNormal="95" zoomScalePageLayoutView="100" workbookViewId="0">
      <selection pane="topLeft" activeCell="C23" activeCellId="0" sqref="C23"/>
    </sheetView>
  </sheetViews>
  <sheetFormatPr defaultColWidth="6.6015625" defaultRowHeight="12.8" customHeight="true" zeroHeight="true" outlineLevelRow="0" outlineLevelCol="0"/>
  <cols>
    <col collapsed="false" customWidth="true" hidden="false" outlineLevel="0" max="1" min="1" style="0" width="8.3"/>
    <col collapsed="false" customWidth="true" hidden="false" outlineLevel="0" max="2" min="2" style="1" width="55.1"/>
    <col collapsed="false" customWidth="true" hidden="false" outlineLevel="0" max="3" min="3" style="2" width="18.9"/>
    <col collapsed="false" customWidth="true" hidden="false" outlineLevel="0" max="4" min="4" style="3" width="55.7"/>
    <col collapsed="false" customWidth="true" hidden="false" outlineLevel="0" max="5" min="5" style="4" width="32"/>
    <col collapsed="false" customWidth="true" hidden="false" outlineLevel="0" max="6" min="6" style="1" width="32"/>
    <col collapsed="false" customWidth="true" hidden="false" outlineLevel="0" max="7" min="7" style="1" width="18.1"/>
    <col collapsed="false" customWidth="true" hidden="true" outlineLevel="0" max="8" min="8" style="1" width="18.1"/>
    <col collapsed="false" customWidth="true" hidden="true" outlineLevel="0" max="10" min="9" style="5" width="18.1"/>
    <col collapsed="false" customWidth="true" hidden="true" outlineLevel="0" max="11" min="11" style="1" width="4.5"/>
    <col collapsed="false" customWidth="false" hidden="true" outlineLevel="0" max="12" min="12" style="1" width="6.6"/>
    <col collapsed="false" customWidth="false" hidden="true" outlineLevel="0" max="16384" min="13" style="0" width="6.6"/>
  </cols>
  <sheetData>
    <row r="1" customFormat="false" ht="231.3" hidden="true" customHeight="false" outlineLevel="0" collapsed="false">
      <c r="A1" s="0" t="s">
        <v>0</v>
      </c>
    </row>
    <row r="2" customFormat="false" ht="36" hidden="false" customHeight="true" outlineLevel="0" collapsed="false">
      <c r="A2" s="7" t="s">
        <v>244</v>
      </c>
      <c r="B2" s="7"/>
      <c r="C2" s="8"/>
      <c r="D2" s="9"/>
      <c r="E2" s="10"/>
      <c r="F2" s="10" t="str">
        <f aca="false">'Auto Responses'!$A$36</f>
        <v>Version 4.1.2</v>
      </c>
      <c r="J2" s="1"/>
    </row>
    <row r="3" s="1" customFormat="true" ht="28.5" hidden="false" customHeight="true" outlineLevel="0" collapsed="false">
      <c r="A3" s="11" t="s">
        <v>2</v>
      </c>
      <c r="B3" s="12"/>
      <c r="C3" s="62" t="n">
        <f aca="false">'START HERE'!$C$3</f>
        <v>0</v>
      </c>
      <c r="D3" s="14"/>
      <c r="E3" s="15"/>
      <c r="F3" s="16"/>
      <c r="I3" s="5"/>
    </row>
    <row r="4" s="1" customFormat="true" ht="36" hidden="false" customHeight="true" outlineLevel="0" collapsed="false">
      <c r="A4" s="17" t="s">
        <v>3</v>
      </c>
      <c r="B4" s="18"/>
      <c r="C4" s="19"/>
      <c r="D4" s="20"/>
      <c r="E4" s="21"/>
      <c r="F4" s="21"/>
      <c r="I4" s="5"/>
    </row>
    <row r="5" s="1" customFormat="true" ht="19.5" hidden="false" customHeight="true" outlineLevel="0" collapsed="false">
      <c r="A5" s="22" t="str">
        <f aca="false">HLOOKUP($A$4,'Auto Responses'!$D$2:$D$8,2,0)&amp;""</f>
        <v>1. Complete the "Start Here" tab and review the "Required Questions" guidance to find the other sections are required for your product or service.</v>
      </c>
      <c r="B5" s="23"/>
      <c r="C5" s="24"/>
      <c r="D5" s="25"/>
      <c r="E5" s="23"/>
      <c r="F5" s="26"/>
      <c r="I5" s="5"/>
    </row>
    <row r="6" s="1" customFormat="true" ht="19.5" hidden="false" customHeight="true" outlineLevel="0" collapsed="false">
      <c r="A6" s="22" t="str">
        <f aca="false">HLOOKUP($A$4,'Auto Responses'!$D$2:$D$8,3,0)&amp;""</f>
        <v>2. Complete the "Organization" tab and the applicable questions in each of the next 5 tabs (Product through Privacy) that apply, based on your answers to the "Required Questions."</v>
      </c>
      <c r="B6" s="23"/>
      <c r="C6" s="24"/>
      <c r="D6" s="25"/>
      <c r="E6" s="23"/>
      <c r="F6" s="27"/>
      <c r="I6" s="5"/>
    </row>
    <row r="7" s="1" customFormat="true" ht="19.5" hidden="false" customHeight="true" outlineLevel="0" collapsed="false">
      <c r="A7" s="22" t="str">
        <f aca="false">HLOOKUP($A$4,'Auto Responses'!$D$2:$D$8,4,0)&amp;""</f>
        <v>3. Guidance in column E may change based on your answers to prompt details in "Additional Information." If leaving an answer blank, you must also state why in "Additional Information". </v>
      </c>
      <c r="B7" s="23"/>
      <c r="C7" s="24"/>
      <c r="D7" s="25"/>
      <c r="E7" s="23"/>
      <c r="F7" s="27"/>
      <c r="I7" s="5"/>
    </row>
    <row r="8" s="1" customFormat="true" ht="19.5" hidden="false" customHeight="true" outlineLevel="0" collapsed="false">
      <c r="A8" s="22" t="str">
        <f aca="false">HLOOKUP($A$4,'Auto Responses'!$D$2:$D$8,5,0)&amp;""</f>
        <v>4. DO NOT complete any fields in the "Evaluation" sheets or the "Analyst Notes" column.</v>
      </c>
      <c r="B8" s="23"/>
      <c r="C8" s="24"/>
      <c r="D8" s="25"/>
      <c r="E8" s="23"/>
      <c r="F8" s="27"/>
      <c r="I8" s="5"/>
    </row>
    <row r="9" s="1" customFormat="true" ht="19.5" hidden="false" customHeight="true" outlineLevel="0" collapsed="false">
      <c r="A9" s="22" t="str">
        <f aca="false">HLOOKUP($A$4,'Auto Responses'!$D$2:$D$8,6,0)&amp;""</f>
        <v>5. Return the completed file to institutions.</v>
      </c>
      <c r="B9" s="23"/>
      <c r="C9" s="24"/>
      <c r="D9" s="25"/>
      <c r="E9" s="23"/>
      <c r="F9" s="27"/>
      <c r="I9" s="5"/>
    </row>
    <row r="10" s="1" customFormat="true" ht="19.5" hidden="false" customHeight="true" outlineLevel="0" collapsed="false">
      <c r="A10" s="28" t="str">
        <f aca="false">HLOOKUP($A$4,'Auto Responses'!$D$2:$D$8,7,0)&amp;""</f>
        <v>* Denotes critical questions. Critical questions are those deemed most important to institutions by higher education volunteers.</v>
      </c>
      <c r="B10" s="23"/>
      <c r="C10" s="24"/>
      <c r="D10" s="25"/>
      <c r="E10" s="23"/>
      <c r="F10" s="27"/>
      <c r="I10" s="5"/>
    </row>
    <row r="11" s="1" customFormat="true" ht="19.5" hidden="false" customHeight="true" outlineLevel="0" collapsed="false">
      <c r="A11" s="29" t="str">
        <f aca="false">HLOOKUP($A$4,'Auto Responses'!$D$2:$D$9,8,0)&amp;""</f>
        <v>For full instructions, please visit educause.edu/HECVAT</v>
      </c>
      <c r="B11" s="23"/>
      <c r="C11" s="24"/>
      <c r="D11" s="25"/>
      <c r="E11" s="23"/>
      <c r="F11" s="30"/>
      <c r="I11" s="5"/>
    </row>
    <row r="12" s="1" customFormat="true" ht="36" hidden="false" customHeight="true" outlineLevel="0" collapsed="false">
      <c r="A12" s="31" t="str">
        <f aca="false">VLOOKUP(LEFT($A13,4),'Auto Responses'!$N$4:$O$38,2,0)&amp;""</f>
        <v> General Information</v>
      </c>
      <c r="B12" s="18"/>
      <c r="C12" s="19" t="s">
        <v>21</v>
      </c>
      <c r="D12" s="33"/>
      <c r="E12" s="34"/>
      <c r="F12" s="34"/>
      <c r="I12" s="5"/>
      <c r="J12" s="5"/>
    </row>
    <row r="13" s="1" customFormat="true" ht="21.75" hidden="false" customHeight="true" outlineLevel="0" collapsed="false">
      <c r="A13" s="35" t="s">
        <v>4</v>
      </c>
      <c r="B13" s="36" t="str">
        <f aca="false">VLOOKUP($A13,Questions!$A$2:$X$333,2,0)&amp;""</f>
        <v>Solution Provider Name</v>
      </c>
      <c r="C13" s="37" t="str">
        <f aca="false">VLOOKUP($A13,'START HERE'!$A$13:$C$21,3,0)&amp;""</f>
        <v>QGIS.org</v>
      </c>
      <c r="D13" s="38"/>
      <c r="E13" s="38"/>
      <c r="F13" s="16"/>
      <c r="I13" s="5"/>
      <c r="J13" s="5"/>
    </row>
    <row r="14" s="1" customFormat="true" ht="21.75" hidden="false" customHeight="true" outlineLevel="0" collapsed="false">
      <c r="A14" s="35" t="s">
        <v>6</v>
      </c>
      <c r="B14" s="36" t="str">
        <f aca="false">VLOOKUP($A14,Questions!$A$2:$X$333,2,0)&amp;""</f>
        <v>Solution Name</v>
      </c>
      <c r="C14" s="37" t="str">
        <f aca="false">VLOOKUP($A14,'START HERE'!$A$13:$C$21,3,0)&amp;""</f>
        <v>QGIS.org</v>
      </c>
      <c r="D14" s="38"/>
      <c r="E14" s="38"/>
      <c r="F14" s="16"/>
      <c r="I14" s="5"/>
      <c r="J14" s="5"/>
    </row>
    <row r="15" s="1" customFormat="true" ht="21.75" hidden="false" customHeight="true" outlineLevel="0" collapsed="false">
      <c r="A15" s="35" t="s">
        <v>7</v>
      </c>
      <c r="B15" s="36" t="str">
        <f aca="false">VLOOKUP($A15,Questions!$A$2:$X$333,2,0)&amp;""</f>
        <v>Solution Description</v>
      </c>
      <c r="C15" s="37" t="str">
        <f aca="false">VLOOKUP($A15,'START HERE'!$A$13:$C$21,3,0)&amp;""</f>
        <v>QGIS is a free and open source Geographic information system, running on Windows, MacOS, Linux and with solution for mobile OS.</v>
      </c>
      <c r="D15" s="38"/>
      <c r="E15" s="38"/>
      <c r="F15" s="16"/>
      <c r="I15" s="5"/>
      <c r="J15" s="5"/>
    </row>
    <row r="16" s="1" customFormat="true" ht="21.75" hidden="false" customHeight="true" outlineLevel="0" collapsed="false">
      <c r="A16" s="35" t="s">
        <v>17</v>
      </c>
      <c r="B16" s="36" t="str">
        <f aca="false">VLOOKUP($A16,Questions!$A$2:$X$333,2,0)&amp;""</f>
        <v>Country of Company Headquarters</v>
      </c>
      <c r="C16" s="37" t="str">
        <f aca="false">VLOOKUP($A16,'START HERE'!$A$13:$C$21,3,0)&amp;""</f>
        <v>Switzerland</v>
      </c>
      <c r="D16" s="38"/>
      <c r="E16" s="38"/>
      <c r="F16" s="16"/>
      <c r="I16" s="5"/>
      <c r="J16" s="5"/>
    </row>
    <row r="17" s="1" customFormat="true" ht="36.75" hidden="false" customHeight="true" outlineLevel="0" collapsed="false">
      <c r="A17" s="31" t="str">
        <f aca="false">VLOOKUP(LEFT($A18,4),'Auto Responses'!$N$4:$O$38,2,0)&amp;""</f>
        <v> Required Questions</v>
      </c>
      <c r="B17" s="42"/>
      <c r="C17" s="19" t="s">
        <v>21</v>
      </c>
      <c r="D17" s="19" t="s">
        <v>22</v>
      </c>
      <c r="E17" s="43" t="s">
        <v>23</v>
      </c>
      <c r="F17" s="52" t="s">
        <v>24</v>
      </c>
      <c r="I17" s="5"/>
      <c r="J17" s="5"/>
    </row>
    <row r="18" s="1" customFormat="true" ht="38.25" hidden="false" customHeight="true" outlineLevel="0" collapsed="false">
      <c r="A18" s="35" t="s">
        <v>42</v>
      </c>
      <c r="B18" s="45" t="str">
        <f aca="false">VLOOKUP($A18,Questions!$A$2:$X$333,2,0)</f>
        <v>Are you providing consulting services?</v>
      </c>
      <c r="C18" s="78" t="str">
        <f aca="false">VLOOKUP($A18,'START HERE'!$A$23:$F$36,3,0)&amp;""</f>
        <v>No</v>
      </c>
      <c r="D18" s="79" t="str">
        <f aca="false">VLOOKUP($A18,'START HERE'!$A$23:$F$36,4,0)&amp;""</f>
        <v>QGIS.org is an association in charge of ensuring project is run in full transparency and democracy. External commercial companies may provide consulting services. </v>
      </c>
      <c r="E18" s="48" t="str">
        <f aca="false">IF($C18="Yes",VLOOKUP($A18,Questions!$A$2:$X$333,17,0)&amp;"",IF($C18="No",VLOOKUP($A18,Questions!$A$2:$X$333,16,0)&amp;"",VLOOKUP($A18,Questions!$A$2:$X$333,15,0)&amp;""))</f>
        <v>DO NOT complete the Consulting section in the Case-Specific worksheet</v>
      </c>
      <c r="F18" s="49" t="str">
        <f aca="false">VLOOKUP($A18,'Institution Evaluation'!$A$56:$F$346,6,0)&amp;""</f>
        <v/>
      </c>
      <c r="I18" s="5"/>
      <c r="J18" s="5"/>
    </row>
    <row r="19" s="1" customFormat="true" ht="51.75" hidden="false" customHeight="true" outlineLevel="0" collapsed="false">
      <c r="A19" s="35" t="s">
        <v>45</v>
      </c>
      <c r="B19" s="45" t="str">
        <f aca="false">VLOOKUP($A19,Questions!$A$2:$X$333,2,0)</f>
        <v>Does your solution process protected health information (PHI) or any data covered by the Health Insurance Portability and Accountability Act (HIPAA)?</v>
      </c>
      <c r="C19" s="78" t="str">
        <f aca="false">VLOOKUP($A19,'START HERE'!$A$23:$F$36,3,0)&amp;""</f>
        <v>No</v>
      </c>
      <c r="D19" s="79" t="str">
        <f aca="false">VLOOKUP($A19,'START HERE'!$A$23:$F$36,4,0)&amp;""</f>
        <v/>
      </c>
      <c r="E19" s="48" t="str">
        <f aca="false">IF($C19="Yes",VLOOKUP($A19,Questions!$A$2:$X$333,17,0)&amp;"",IF($C19="No",VLOOKUP($A19,Questions!$A$2:$X$333,16,0)&amp;"",VLOOKUP($A19,Questions!$A$2:$X$333,15,0)&amp;""))</f>
        <v>DO NOT complete the HIPAA section in the Case-Specific worksheet</v>
      </c>
      <c r="F19" s="49" t="str">
        <f aca="false">VLOOKUP($A19,'Institution Evaluation'!$A$56:$F$346,6,0)&amp;""</f>
        <v/>
      </c>
      <c r="I19" s="5"/>
      <c r="J19" s="5"/>
    </row>
    <row r="20" s="1" customFormat="true" ht="51.75" hidden="false" customHeight="true" outlineLevel="0" collapsed="false">
      <c r="A20" s="35" t="s">
        <v>46</v>
      </c>
      <c r="B20" s="45" t="str">
        <f aca="false">VLOOKUP($A20,Questions!$A$2:$X$333,2,0)</f>
        <v>Is the solution designed to process, store, or transmit credit card information?</v>
      </c>
      <c r="C20" s="78" t="str">
        <f aca="false">VLOOKUP($A20,'START HERE'!$A$23:$F$36,3,0)&amp;""</f>
        <v>No</v>
      </c>
      <c r="D20" s="79" t="str">
        <f aca="false">VLOOKUP($A20,'START HERE'!$A$23:$F$36,4,0)&amp;""</f>
        <v/>
      </c>
      <c r="E20" s="48" t="str">
        <f aca="false">IF($C20="Yes",VLOOKUP($A20,Questions!$A$2:$X$333,17,0)&amp;"",IF($C20="No",VLOOKUP($A20,Questions!$A$2:$X$333,16,0)&amp;"",VLOOKUP($A20,Questions!$A$2:$X$333,15,0)&amp;""))</f>
        <v>DO NOT complete the PCI-DSS section in the Case-Specific worksheet</v>
      </c>
      <c r="F20" s="49" t="str">
        <f aca="false">VLOOKUP($A20,'Institution Evaluation'!$A$56:$F$346,6,0)&amp;""</f>
        <v/>
      </c>
      <c r="I20" s="5"/>
      <c r="J20" s="5"/>
    </row>
    <row r="21" s="1" customFormat="true" ht="69" hidden="false" customHeight="true" outlineLevel="0" collapsed="false">
      <c r="A21" s="35" t="s">
        <v>47</v>
      </c>
      <c r="B21" s="45" t="str">
        <f aca="false">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78" t="str">
        <f aca="false">VLOOKUP($A21,'START HERE'!$A$23:$F$36,3,0)&amp;""</f>
        <v>No</v>
      </c>
      <c r="D21" s="79" t="str">
        <f aca="false">VLOOKUP($A21,'START HERE'!$A$23:$F$36,4,0)&amp;""</f>
        <v/>
      </c>
      <c r="E21" s="48" t="str">
        <f aca="false">IF($C21="Yes",VLOOKUP($A21,Questions!$A$2:$X$333,17,0)&amp;"",IF($C21="No",VLOOKUP($A21,Questions!$A$2:$X$333,16,0)&amp;"",VLOOKUP($A21,Questions!$A$2:$X$333,15,0)&amp;""))</f>
        <v>DO NOT complete the On-Prem section in the Case-Specific worksheet</v>
      </c>
      <c r="F21" s="49" t="str">
        <f aca="false">VLOOKUP($A21,'Institution Evaluation'!$A$56:$F$346,6,0)&amp;""</f>
        <v/>
      </c>
      <c r="G21" s="51" t="s">
        <v>37</v>
      </c>
      <c r="I21" s="5"/>
      <c r="J21" s="5"/>
    </row>
    <row r="22" s="1" customFormat="true" ht="36.75" hidden="false" customHeight="true" outlineLevel="0" collapsed="false">
      <c r="A22" s="31" t="str">
        <f aca="false">VLOOKUP(LEFT($A23,4),'Auto Responses'!$N$4:$O$38,2,0)&amp;""</f>
        <v> Consulting Services</v>
      </c>
      <c r="B22" s="42"/>
      <c r="C22" s="19" t="s">
        <v>21</v>
      </c>
      <c r="D22" s="19" t="s">
        <v>22</v>
      </c>
      <c r="E22" s="43" t="s">
        <v>23</v>
      </c>
      <c r="F22" s="52" t="s">
        <v>24</v>
      </c>
      <c r="I22" s="5"/>
      <c r="J22" s="5"/>
    </row>
    <row r="23" s="1" customFormat="true" ht="61.15" hidden="false" customHeight="false" outlineLevel="0" collapsed="false">
      <c r="A23" s="35" t="s">
        <v>245</v>
      </c>
      <c r="B23" s="45" t="str">
        <f aca="false">VLOOKUP($A23,Questions!$A$2:$X$333,2,0)</f>
        <v>Will the consultant require access to the institution's network resources?*</v>
      </c>
      <c r="C23" s="46"/>
      <c r="D23" s="87"/>
      <c r="E23" s="48" t="str">
        <f aca="false">IF($C$18="No",'Auto Responses'!$A$5,IF($C23="Yes",VLOOKUP($A23,Questions!$A$2:$X$333,17,0)&amp;"",IF($C23="No",VLOOKUP($A23,Questions!$A$2:$X$333,16,0)&amp;"",VLOOKUP($A23,Questions!$A$2:$X$333,15,0)&amp;"")))</f>
        <v>Based on the response to REQU-03 on the "START HERE" tab, this question does not apply to this product or service.</v>
      </c>
      <c r="F23" s="49" t="str">
        <f aca="false">VLOOKUP($A23,'Institution Evaluation'!$A$56:$F$346,6,0)&amp;""</f>
        <v/>
      </c>
      <c r="I23" s="5"/>
      <c r="J23" s="5"/>
    </row>
    <row r="24" s="1" customFormat="true" ht="61.15" hidden="false" customHeight="false" outlineLevel="0" collapsed="false">
      <c r="A24" s="35" t="s">
        <v>246</v>
      </c>
      <c r="B24" s="45" t="str">
        <f aca="false">VLOOKUP($A24,Questions!$A$2:$X$333,2,0)</f>
        <v>Has the consultant received training on (sensitive, HIPAA, PCI, etc.) data handling?*</v>
      </c>
      <c r="C24" s="46"/>
      <c r="D24" s="87"/>
      <c r="E24" s="48" t="str">
        <f aca="false">IF($C$18="No",'Auto Responses'!$A$5,IF($C24="Yes",VLOOKUP($A24,Questions!$A$2:$X$333,17,0)&amp;"",IF($C24="No",VLOOKUP($A24,Questions!$A$2:$X$333,16,0)&amp;"",VLOOKUP($A24,Questions!$A$2:$X$333,15,0)&amp;"")))</f>
        <v>Based on the response to REQU-03 on the "START HERE" tab, this question does not apply to this product or service.</v>
      </c>
      <c r="F24" s="49" t="str">
        <f aca="false">VLOOKUP($A24,'Institution Evaluation'!$A$56:$F$346,6,0)&amp;""</f>
        <v/>
      </c>
      <c r="I24" s="5"/>
      <c r="J24" s="5"/>
    </row>
    <row r="25" s="1" customFormat="true" ht="36" hidden="false" customHeight="true" outlineLevel="0" collapsed="false">
      <c r="A25" s="35" t="s">
        <v>247</v>
      </c>
      <c r="B25" s="45" t="str">
        <f aca="false">VLOOKUP($A25,Questions!$A$2:$X$333,2,0)</f>
        <v>Is the data encrypted (at rest) while in the consultant's possession?*</v>
      </c>
      <c r="C25" s="46"/>
      <c r="D25" s="87"/>
      <c r="E25" s="48" t="str">
        <f aca="false">IF($C$18="No",'Auto Responses'!$A$5,IF($C25="Yes",VLOOKUP($A25,Questions!$A$2:$X$333,17,0)&amp;"",IF($C25="No",VLOOKUP($A25,Questions!$A$2:$X$333,16,0)&amp;"",VLOOKUP($A25,Questions!$A$2:$X$333,15,0)&amp;"")))</f>
        <v>Based on the response to REQU-03 on the "START HERE" tab, this question does not apply to this product or service.</v>
      </c>
      <c r="F25" s="49" t="str">
        <f aca="false">VLOOKUP($A25,'Institution Evaluation'!$A$56:$F$346,6,0)&amp;""</f>
        <v/>
      </c>
      <c r="I25" s="5"/>
      <c r="J25" s="5"/>
    </row>
    <row r="26" s="1" customFormat="true" ht="61.15" hidden="false" customHeight="false" outlineLevel="0" collapsed="false">
      <c r="A26" s="35" t="s">
        <v>248</v>
      </c>
      <c r="B26" s="45" t="str">
        <f aca="false">VLOOKUP($A26,Questions!$A$2:$X$333,2,0)</f>
        <v>Can access be restricted based on source IP address?*</v>
      </c>
      <c r="C26" s="46"/>
      <c r="D26" s="87"/>
      <c r="E26" s="48" t="str">
        <f aca="false">IF($C$18="No",'Auto Responses'!$A$5,IF($C26="Yes",VLOOKUP($A26,Questions!$A$2:$X$333,17,0)&amp;"",IF($C26="No",VLOOKUP($A26,Questions!$A$2:$X$333,16,0)&amp;"",VLOOKUP($A26,Questions!$A$2:$X$333,15,0)&amp;"")))</f>
        <v>Based on the response to REQU-03 on the "START HERE" tab, this question does not apply to this product or service.</v>
      </c>
      <c r="F26" s="49" t="str">
        <f aca="false">VLOOKUP($A26,'Institution Evaluation'!$A$56:$F$346,6,0)&amp;""</f>
        <v/>
      </c>
      <c r="I26" s="5"/>
      <c r="J26" s="5"/>
    </row>
    <row r="27" s="1" customFormat="true" ht="61.15" hidden="false" customHeight="false" outlineLevel="0" collapsed="false">
      <c r="A27" s="35" t="s">
        <v>249</v>
      </c>
      <c r="B27" s="45" t="str">
        <f aca="false">VLOOKUP($A27,Questions!$A$2:$X$333,2,0)</f>
        <v>Will the consulting take place on-premises?</v>
      </c>
      <c r="C27" s="46"/>
      <c r="D27" s="87"/>
      <c r="E27" s="48" t="str">
        <f aca="false">IF($C$18="No",'Auto Responses'!$A$5,IF($C27="Yes",VLOOKUP($A27,Questions!$A$2:$X$333,17,0)&amp;"",IF($C27="No",VLOOKUP($A27,Questions!$A$2:$X$333,16,0)&amp;"",VLOOKUP($A27,Questions!$A$2:$X$333,15,0)&amp;"")))</f>
        <v>Based on the response to REQU-03 on the "START HERE" tab, this question does not apply to this product or service.</v>
      </c>
      <c r="F27" s="49" t="str">
        <f aca="false">VLOOKUP($A27,'Institution Evaluation'!$A$56:$F$346,6,0)&amp;""</f>
        <v/>
      </c>
      <c r="I27" s="5"/>
      <c r="J27" s="5"/>
    </row>
    <row r="28" s="1" customFormat="true" ht="61.15" hidden="false" customHeight="false" outlineLevel="0" collapsed="false">
      <c r="A28" s="35" t="s">
        <v>250</v>
      </c>
      <c r="B28" s="45" t="str">
        <f aca="false">VLOOKUP($A28,Questions!$A$2:$X$333,2,0)</f>
        <v>Will the consultant require access to hardware in the institution's data centers?</v>
      </c>
      <c r="C28" s="46"/>
      <c r="D28" s="87"/>
      <c r="E28" s="48" t="str">
        <f aca="false">IF($C$18="No",'Auto Responses'!$A$5,IF($C28="Yes",VLOOKUP($A28,Questions!$A$2:$X$333,17,0)&amp;"",IF($C28="No",VLOOKUP($A28,Questions!$A$2:$X$333,16,0)&amp;"",VLOOKUP($A28,Questions!$A$2:$X$333,15,0)&amp;"")))</f>
        <v>Based on the response to REQU-03 on the "START HERE" tab, this question does not apply to this product or service.</v>
      </c>
      <c r="F28" s="49" t="str">
        <f aca="false">VLOOKUP($A28,'Institution Evaluation'!$A$56:$F$346,6,0)&amp;""</f>
        <v/>
      </c>
      <c r="I28" s="5"/>
      <c r="J28" s="5"/>
    </row>
    <row r="29" s="1" customFormat="true" ht="61.15" hidden="false" customHeight="false" outlineLevel="0" collapsed="false">
      <c r="A29" s="35" t="s">
        <v>251</v>
      </c>
      <c r="B29" s="45" t="str">
        <f aca="false">VLOOKUP($A29,Questions!$A$2:$X$333,2,0)</f>
        <v>Will the consultant require an account within the institution's domain (@*.edu)?</v>
      </c>
      <c r="C29" s="46"/>
      <c r="D29" s="87"/>
      <c r="E29" s="48" t="str">
        <f aca="false">IF($C$18="No",'Auto Responses'!$A$5,IF($C29="Yes",VLOOKUP($A29,Questions!$A$2:$X$333,17,0)&amp;"",IF($C29="No",VLOOKUP($A29,Questions!$A$2:$X$333,16,0)&amp;"",VLOOKUP($A29,Questions!$A$2:$X$333,15,0)&amp;"")))</f>
        <v>Based on the response to REQU-03 on the "START HERE" tab, this question does not apply to this product or service.</v>
      </c>
      <c r="F29" s="49" t="str">
        <f aca="false">VLOOKUP($A29,'Institution Evaluation'!$A$56:$F$346,6,0)&amp;""</f>
        <v/>
      </c>
      <c r="I29" s="5"/>
      <c r="J29" s="5"/>
    </row>
    <row r="30" s="1" customFormat="true" ht="61.15" hidden="false" customHeight="false" outlineLevel="0" collapsed="false">
      <c r="A30" s="35" t="s">
        <v>252</v>
      </c>
      <c r="B30" s="45" t="str">
        <f aca="false">VLOOKUP($A30,Questions!$A$2:$X$333,2,0)</f>
        <v>Will any data be transferred to the consultant's possession?</v>
      </c>
      <c r="C30" s="46"/>
      <c r="D30" s="87"/>
      <c r="E30" s="48" t="str">
        <f aca="false">IF($C$18="No",'Auto Responses'!$A$5,IF($C30="Yes",VLOOKUP($A30,Questions!$A$2:$X$333,17,0)&amp;"",IF($C30="No",VLOOKUP($A30,Questions!$A$2:$X$333,16,0)&amp;"",VLOOKUP($A30,Questions!$A$2:$X$333,15,0)&amp;"")))</f>
        <v>Based on the response to REQU-03 on the "START HERE" tab, this question does not apply to this product or service.</v>
      </c>
      <c r="F30" s="49" t="str">
        <f aca="false">VLOOKUP($A30,'Institution Evaluation'!$A$56:$F$346,6,0)&amp;""</f>
        <v/>
      </c>
      <c r="I30" s="5"/>
      <c r="J30" s="5"/>
    </row>
    <row r="31" s="1" customFormat="true" ht="61.15" hidden="false" customHeight="false" outlineLevel="0" collapsed="false">
      <c r="A31" s="35" t="s">
        <v>253</v>
      </c>
      <c r="B31" s="45" t="str">
        <f aca="false">VLOOKUP($A31,Questions!$A$2:$X$333,2,0)</f>
        <v>Will the consultant need remote access to the institution's network or systems?</v>
      </c>
      <c r="C31" s="46"/>
      <c r="D31" s="87"/>
      <c r="E31" s="48" t="str">
        <f aca="false">IF($C$18="No",'Auto Responses'!$A$5,IF($C31="Yes",VLOOKUP($A31,Questions!$A$2:$X$333,17,0)&amp;"",IF($C31="No",VLOOKUP($A31,Questions!$A$2:$X$333,16,0)&amp;"",VLOOKUP($A31,Questions!$A$2:$X$333,15,0)&amp;"")))</f>
        <v>Based on the response to REQU-03 on the "START HERE" tab, this question does not apply to this product or service.</v>
      </c>
      <c r="F31" s="49" t="str">
        <f aca="false">VLOOKUP($A31,'Institution Evaluation'!$A$56:$F$346,6,0)&amp;""</f>
        <v/>
      </c>
      <c r="G31" s="51" t="s">
        <v>37</v>
      </c>
      <c r="I31" s="5"/>
      <c r="J31" s="5"/>
    </row>
    <row r="32" s="1" customFormat="true" ht="36.75" hidden="false" customHeight="true" outlineLevel="0" collapsed="false">
      <c r="A32" s="31" t="str">
        <f aca="false">VLOOKUP(LEFT($A33,4),'Auto Responses'!$N$4:$O$38,2,0)&amp;""</f>
        <v>HIPAA Compliance </v>
      </c>
      <c r="B32" s="42"/>
      <c r="C32" s="19"/>
      <c r="D32" s="19"/>
      <c r="E32" s="43" t="s">
        <v>23</v>
      </c>
      <c r="F32" s="52" t="s">
        <v>24</v>
      </c>
      <c r="I32" s="5"/>
      <c r="J32" s="5"/>
    </row>
    <row r="33" s="1" customFormat="true" ht="49.5" hidden="false" customHeight="true" outlineLevel="0" collapsed="false">
      <c r="A33" s="35" t="s">
        <v>254</v>
      </c>
      <c r="B33" s="45" t="str">
        <f aca="false">VLOOKUP($A33,Questions!$A$2:$X$333,2,0)</f>
        <v>Do your workforce members receive regular training related to the Health Insurance Portability and Accountability Act (HIPAA) Privacy and Security Rules and the HITECH Act?*</v>
      </c>
      <c r="C33" s="46"/>
      <c r="D33" s="87"/>
      <c r="E33" s="48" t="str">
        <f aca="false">IF($C$19="No",'Auto Responses'!$A$7,IF($C33="Yes",VLOOKUP($A33,Questions!$A$2:$X$333,17,0)&amp;"",IF($C33="No",VLOOKUP($A33,Questions!$A$2:$X$333,16,0)&amp;"",VLOOKUP($A33,Questions!$A$2:$X$333,15,0)&amp;"")))</f>
        <v>Based on the response to REQU-05 on the "START HERE" tab, this question does not apply to this product or service.</v>
      </c>
      <c r="F33" s="49" t="str">
        <f aca="false">VLOOKUP($A33,'Institution Evaluation'!$A$56:$F$346,6,0)&amp;""</f>
        <v/>
      </c>
      <c r="I33" s="5"/>
      <c r="J33" s="5"/>
    </row>
    <row r="34" s="1" customFormat="true" ht="49.5" hidden="false" customHeight="true" outlineLevel="0" collapsed="false">
      <c r="A34" s="35" t="s">
        <v>255</v>
      </c>
      <c r="B34" s="45" t="str">
        <f aca="false">VLOOKUP($A34,Questions!$A$2:$X$333,2,0)</f>
        <v>Have you identified areas of risk?*</v>
      </c>
      <c r="C34" s="46"/>
      <c r="D34" s="87"/>
      <c r="E34" s="48" t="str">
        <f aca="false">IF($C$19="No",'Auto Responses'!$A$7,IF($C34="Yes",VLOOKUP($A34,Questions!$A$2:$X$333,17,0)&amp;"",IF($C34="No",VLOOKUP($A34,Questions!$A$2:$X$333,16,0)&amp;"",VLOOKUP($A34,Questions!$A$2:$X$333,15,0)&amp;"")))</f>
        <v>Based on the response to REQU-05 on the "START HERE" tab, this question does not apply to this product or service.</v>
      </c>
      <c r="F34" s="49" t="str">
        <f aca="false">VLOOKUP($A34,'Institution Evaluation'!$A$56:$F$346,6,0)&amp;""</f>
        <v/>
      </c>
      <c r="I34" s="5"/>
      <c r="J34" s="5"/>
    </row>
    <row r="35" s="1" customFormat="true" ht="49.5" hidden="false" customHeight="true" outlineLevel="0" collapsed="false">
      <c r="A35" s="35" t="s">
        <v>256</v>
      </c>
      <c r="B35" s="45" t="str">
        <f aca="false">VLOOKUP($A35,Questions!$A$2:$X$333,2,0)</f>
        <v>Have the relevant policies/plans been tested?*</v>
      </c>
      <c r="C35" s="46"/>
      <c r="D35" s="87"/>
      <c r="E35" s="48" t="str">
        <f aca="false">IF($C$19="No",'Auto Responses'!$A$7,IF($C35="Yes",VLOOKUP($A35,Questions!$A$2:$X$333,17,0)&amp;"",IF($C35="No",VLOOKUP($A35,Questions!$A$2:$X$333,16,0)&amp;"",VLOOKUP($A35,Questions!$A$2:$X$333,15,0)&amp;"")))</f>
        <v>Based on the response to REQU-05 on the "START HERE" tab, this question does not apply to this product or service.</v>
      </c>
      <c r="F35" s="49" t="str">
        <f aca="false">VLOOKUP($A35,'Institution Evaluation'!$A$56:$F$346,6,0)&amp;""</f>
        <v/>
      </c>
      <c r="I35" s="5"/>
      <c r="J35" s="5"/>
    </row>
    <row r="36" s="1" customFormat="true" ht="49.5" hidden="false" customHeight="true" outlineLevel="0" collapsed="false">
      <c r="A36" s="35" t="s">
        <v>257</v>
      </c>
      <c r="B36" s="45" t="str">
        <f aca="false">VLOOKUP($A36,Questions!$A$2:$X$333,2,0)</f>
        <v>Have you entered into a Business Associate Agreements with all subcontractors who may have access to protected health information (PHI)?*</v>
      </c>
      <c r="C36" s="46"/>
      <c r="D36" s="87"/>
      <c r="E36" s="48" t="str">
        <f aca="false">IF($C$19="No",'Auto Responses'!$A$7,IF($C36="Yes",VLOOKUP($A36,Questions!$A$2:$X$333,17,0)&amp;"",IF($C36="No",VLOOKUP($A36,Questions!$A$2:$X$333,16,0)&amp;"",VLOOKUP($A36,Questions!$A$2:$X$333,15,0)&amp;"")))</f>
        <v>Based on the response to REQU-05 on the "START HERE" tab, this question does not apply to this product or service.</v>
      </c>
      <c r="F36" s="49" t="str">
        <f aca="false">VLOOKUP($A36,'Institution Evaluation'!$A$56:$F$346,6,0)&amp;""</f>
        <v/>
      </c>
      <c r="I36" s="5"/>
      <c r="J36" s="5"/>
    </row>
    <row r="37" s="1" customFormat="true" ht="49.5" hidden="false" customHeight="true" outlineLevel="0" collapsed="false">
      <c r="A37" s="35" t="s">
        <v>258</v>
      </c>
      <c r="B37" s="45" t="str">
        <f aca="false">VLOOKUP($A37,Questions!$A$2:$X$333,2,0)</f>
        <v>Do you monitor or receive information regarding changes in HIPAA regulations?</v>
      </c>
      <c r="C37" s="46"/>
      <c r="D37" s="87"/>
      <c r="E37" s="48" t="str">
        <f aca="false">IF($C$19="No",'Auto Responses'!$A$7,IF($C37="Yes",VLOOKUP($A37,Questions!$A$2:$X$333,17,0)&amp;"",IF($C37="No",VLOOKUP($A37,Questions!$A$2:$X$333,16,0)&amp;"",VLOOKUP($A37,Questions!$A$2:$X$333,15,0)&amp;"")))</f>
        <v>Based on the response to REQU-05 on the "START HERE" tab, this question does not apply to this product or service.</v>
      </c>
      <c r="F37" s="49" t="str">
        <f aca="false">VLOOKUP($A37,'Institution Evaluation'!$A$56:$F$346,6,0)&amp;""</f>
        <v/>
      </c>
      <c r="I37" s="5"/>
      <c r="J37" s="5"/>
    </row>
    <row r="38" s="1" customFormat="true" ht="49.5" hidden="false" customHeight="true" outlineLevel="0" collapsed="false">
      <c r="A38" s="35" t="s">
        <v>259</v>
      </c>
      <c r="B38" s="45" t="str">
        <f aca="false">VLOOKUP($A38,Questions!$A$2:$X$333,2,0)</f>
        <v>Has your organization designated HIPAA Privacy and Security officers as required by the rules?</v>
      </c>
      <c r="C38" s="46"/>
      <c r="D38" s="87"/>
      <c r="E38" s="48" t="str">
        <f aca="false">IF($C$19="No",'Auto Responses'!$A$7,IF($C38="Yes",VLOOKUP($A38,Questions!$A$2:$X$333,17,0)&amp;"",IF($C38="No",VLOOKUP($A38,Questions!$A$2:$X$333,16,0)&amp;"",VLOOKUP($A38,Questions!$A$2:$X$333,15,0)&amp;"")))</f>
        <v>Based on the response to REQU-05 on the "START HERE" tab, this question does not apply to this product or service.</v>
      </c>
      <c r="F38" s="49" t="str">
        <f aca="false">VLOOKUP($A38,'Institution Evaluation'!$A$56:$F$346,6,0)&amp;""</f>
        <v/>
      </c>
      <c r="I38" s="5"/>
      <c r="J38" s="5"/>
    </row>
    <row r="39" s="1" customFormat="true" ht="49.5" hidden="false" customHeight="true" outlineLevel="0" collapsed="false">
      <c r="A39" s="35" t="s">
        <v>260</v>
      </c>
      <c r="B39" s="45" t="str">
        <f aca="false">VLOOKUP($A39,Questions!$A$2:$X$333,2,0)</f>
        <v>Do you comply with the requirements of the Health Information Technology for Economic and Clinical Health Act (HITECH)?</v>
      </c>
      <c r="C39" s="46"/>
      <c r="D39" s="87"/>
      <c r="E39" s="48" t="str">
        <f aca="false">IF($C$19="No",'Auto Responses'!$A$7,IF($C39="Yes",VLOOKUP($A39,Questions!$A$2:$X$333,17,0)&amp;"",IF($C39="No",VLOOKUP($A39,Questions!$A$2:$X$333,16,0)&amp;"",VLOOKUP($A39,Questions!$A$2:$X$333,15,0)&amp;"")))</f>
        <v>Based on the response to REQU-05 on the "START HERE" tab, this question does not apply to this product or service.</v>
      </c>
      <c r="F39" s="49" t="str">
        <f aca="false">VLOOKUP($A39,'Institution Evaluation'!$A$56:$F$346,6,0)&amp;""</f>
        <v/>
      </c>
      <c r="I39" s="5"/>
      <c r="J39" s="5"/>
    </row>
    <row r="40" s="1" customFormat="true" ht="49.5" hidden="false" customHeight="true" outlineLevel="0" collapsed="false">
      <c r="A40" s="35" t="s">
        <v>261</v>
      </c>
      <c r="B40" s="45" t="str">
        <f aca="false">VLOOKUP($A40,Questions!$A$2:$X$333,2,0)</f>
        <v>Have you conducted a risk analysis as required under the HIPAA Security Rule?</v>
      </c>
      <c r="C40" s="46"/>
      <c r="D40" s="87"/>
      <c r="E40" s="48" t="str">
        <f aca="false">IF($C$19="No",'Auto Responses'!$A$7,IF($C40="Yes",VLOOKUP($A40,Questions!$A$2:$X$333,17,0)&amp;"",IF($C40="No",VLOOKUP($A40,Questions!$A$2:$X$333,16,0)&amp;"",VLOOKUP($A40,Questions!$A$2:$X$333,15,0)&amp;"")))</f>
        <v>Based on the response to REQU-05 on the "START HERE" tab, this question does not apply to this product or service.</v>
      </c>
      <c r="F40" s="49" t="str">
        <f aca="false">VLOOKUP($A40,'Institution Evaluation'!$A$56:$F$346,6,0)&amp;""</f>
        <v/>
      </c>
      <c r="I40" s="5"/>
      <c r="J40" s="5"/>
    </row>
    <row r="41" s="1" customFormat="true" ht="49.5" hidden="false" customHeight="true" outlineLevel="0" collapsed="false">
      <c r="A41" s="35" t="s">
        <v>262</v>
      </c>
      <c r="B41" s="45" t="str">
        <f aca="false">VLOOKUP($A41,Questions!$A$2:$X$333,2,0)</f>
        <v>Have you taken actions to mitigate the identified risks?</v>
      </c>
      <c r="C41" s="46"/>
      <c r="D41" s="87"/>
      <c r="E41" s="48" t="str">
        <f aca="false">IF($C$19="No",'Auto Responses'!$A$7,IF($C41="Yes",VLOOKUP($A41,Questions!$A$2:$X$333,17,0)&amp;"",IF($C41="No",VLOOKUP($A41,Questions!$A$2:$X$333,16,0)&amp;"",VLOOKUP($A41,Questions!$A$2:$X$333,15,0)&amp;"")))</f>
        <v>Based on the response to REQU-05 on the "START HERE" tab, this question does not apply to this product or service.</v>
      </c>
      <c r="F41" s="49" t="str">
        <f aca="false">VLOOKUP($A41,'Institution Evaluation'!$A$56:$F$346,6,0)&amp;""</f>
        <v/>
      </c>
      <c r="I41" s="5"/>
      <c r="J41" s="5"/>
    </row>
    <row r="42" s="1" customFormat="true" ht="49.5" hidden="false" customHeight="true" outlineLevel="0" collapsed="false">
      <c r="A42" s="35" t="s">
        <v>263</v>
      </c>
      <c r="B42" s="45" t="str">
        <f aca="false">VLOOKUP($A42,Questions!$A$2:$X$333,2,0)</f>
        <v>Does your application require user and system administrator password changes at a frequency no greater than 90 days?</v>
      </c>
      <c r="C42" s="46"/>
      <c r="D42" s="87"/>
      <c r="E42" s="48" t="str">
        <f aca="false">IF($C$19="No",'Auto Responses'!$A$7,IF($C42="Yes",VLOOKUP($A42,Questions!$A$2:$X$333,17,0)&amp;"",IF($C42="No",VLOOKUP($A42,Questions!$A$2:$X$333,16,0)&amp;"",VLOOKUP($A42,Questions!$A$2:$X$333,15,0)&amp;"")))</f>
        <v>Based on the response to REQU-05 on the "START HERE" tab, this question does not apply to this product or service.</v>
      </c>
      <c r="F42" s="49" t="str">
        <f aca="false">VLOOKUP($A42,'Institution Evaluation'!$A$56:$F$346,6,0)&amp;""</f>
        <v/>
      </c>
      <c r="I42" s="5"/>
      <c r="J42" s="5"/>
    </row>
    <row r="43" s="1" customFormat="true" ht="49.5" hidden="false" customHeight="true" outlineLevel="0" collapsed="false">
      <c r="A43" s="35" t="s">
        <v>264</v>
      </c>
      <c r="B43" s="45" t="str">
        <f aca="false">VLOOKUP($A43,Questions!$A$2:$X$333,2,0)</f>
        <v>Does your application require users to set their own password after an administrator reset or on first use of the account?</v>
      </c>
      <c r="C43" s="46"/>
      <c r="D43" s="87"/>
      <c r="E43" s="48" t="str">
        <f aca="false">IF($C$19="No",'Auto Responses'!$A$7,IF($C43="Yes",VLOOKUP($A43,Questions!$A$2:$X$333,17,0)&amp;"",IF($C43="No",VLOOKUP($A43,Questions!$A$2:$X$333,16,0)&amp;"",VLOOKUP($A43,Questions!$A$2:$X$333,15,0)&amp;"")))</f>
        <v>Based on the response to REQU-05 on the "START HERE" tab, this question does not apply to this product or service.</v>
      </c>
      <c r="F43" s="49" t="str">
        <f aca="false">VLOOKUP($A43,'Institution Evaluation'!$A$56:$F$346,6,0)&amp;""</f>
        <v/>
      </c>
      <c r="I43" s="5"/>
      <c r="J43" s="5"/>
    </row>
    <row r="44" s="1" customFormat="true" ht="49.5" hidden="false" customHeight="true" outlineLevel="0" collapsed="false">
      <c r="A44" s="35" t="s">
        <v>265</v>
      </c>
      <c r="B44" s="45" t="str">
        <f aca="false">VLOOKUP($A44,Questions!$A$2:$X$333,2,0)</f>
        <v>Does your application lock out an account after a number of failed login attempts?</v>
      </c>
      <c r="C44" s="46"/>
      <c r="D44" s="87"/>
      <c r="E44" s="48" t="str">
        <f aca="false">IF($C$19="No",'Auto Responses'!$A$7,IF($C44="Yes",VLOOKUP($A44,Questions!$A$2:$X$333,17,0)&amp;"",IF($C44="No",VLOOKUP($A44,Questions!$A$2:$X$333,16,0)&amp;"",VLOOKUP($A44,Questions!$A$2:$X$333,15,0)&amp;"")))</f>
        <v>Based on the response to REQU-05 on the "START HERE" tab, this question does not apply to this product or service.</v>
      </c>
      <c r="F44" s="49" t="str">
        <f aca="false">VLOOKUP($A44,'Institution Evaluation'!$A$56:$F$346,6,0)&amp;""</f>
        <v/>
      </c>
      <c r="I44" s="5"/>
      <c r="J44" s="5"/>
    </row>
    <row r="45" s="1" customFormat="true" ht="49.5" hidden="false" customHeight="true" outlineLevel="0" collapsed="false">
      <c r="A45" s="35" t="s">
        <v>266</v>
      </c>
      <c r="B45" s="45" t="str">
        <f aca="false">VLOOKUP($A45,Questions!$A$2:$X$333,2,0)</f>
        <v>Does your application automatically lock or log-out an account after a period of inactivity?</v>
      </c>
      <c r="C45" s="46"/>
      <c r="D45" s="87"/>
      <c r="E45" s="48" t="str">
        <f aca="false">IF($C$19="No",'Auto Responses'!$A$7,IF($C45="Yes",VLOOKUP($A45,Questions!$A$2:$X$333,17,0)&amp;"",IF($C45="No",VLOOKUP($A45,Questions!$A$2:$X$333,16,0)&amp;"",VLOOKUP($A45,Questions!$A$2:$X$333,15,0)&amp;"")))</f>
        <v>Based on the response to REQU-05 on the "START HERE" tab, this question does not apply to this product or service.</v>
      </c>
      <c r="F45" s="49" t="str">
        <f aca="false">VLOOKUP($A45,'Institution Evaluation'!$A$56:$F$346,6,0)&amp;""</f>
        <v/>
      </c>
      <c r="I45" s="5"/>
      <c r="J45" s="5"/>
    </row>
    <row r="46" s="1" customFormat="true" ht="49.5" hidden="false" customHeight="true" outlineLevel="0" collapsed="false">
      <c r="A46" s="35" t="s">
        <v>267</v>
      </c>
      <c r="B46" s="45" t="str">
        <f aca="false">VLOOKUP($A46,Questions!$A$2:$X$333,2,0)</f>
        <v>Are passwords visible in plain text, whether when stored or entered, including service level accounts (i.e., database accounts, etc.)?</v>
      </c>
      <c r="C46" s="46"/>
      <c r="D46" s="87"/>
      <c r="E46" s="48" t="str">
        <f aca="false">IF($C$19="No",'Auto Responses'!$A$7,IF($C46="Yes",VLOOKUP($A46,Questions!$A$2:$X$333,17,0)&amp;"",IF($C46="No",VLOOKUP($A46,Questions!$A$2:$X$333,16,0)&amp;"",VLOOKUP($A46,Questions!$A$2:$X$333,15,0)&amp;"")))</f>
        <v>Based on the response to REQU-05 on the "START HERE" tab, this question does not apply to this product or service.</v>
      </c>
      <c r="F46" s="49" t="str">
        <f aca="false">VLOOKUP($A46,'Institution Evaluation'!$A$56:$F$346,6,0)&amp;""</f>
        <v/>
      </c>
      <c r="I46" s="5"/>
      <c r="J46" s="5"/>
    </row>
    <row r="47" s="1" customFormat="true" ht="49.5" hidden="false" customHeight="true" outlineLevel="0" collapsed="false">
      <c r="A47" s="35" t="s">
        <v>268</v>
      </c>
      <c r="B47" s="45" t="str">
        <f aca="false">VLOOKUP($A47,Questions!$A$2:$X$333,2,0)</f>
        <v>If the application is institution-hosted, can all service level and administrative account passwords be changed by the institution?</v>
      </c>
      <c r="C47" s="46"/>
      <c r="D47" s="87"/>
      <c r="E47" s="48" t="str">
        <f aca="false">IF($C$19="No",'Auto Responses'!$A$7,IF($C47="Yes",VLOOKUP($A47,Questions!$A$2:$X$333,17,0)&amp;"",IF($C47="No",VLOOKUP($A47,Questions!$A$2:$X$333,16,0)&amp;"",VLOOKUP($A47,Questions!$A$2:$X$333,15,0)&amp;"")))</f>
        <v>Based on the response to REQU-05 on the "START HERE" tab, this question does not apply to this product or service.</v>
      </c>
      <c r="F47" s="49" t="str">
        <f aca="false">VLOOKUP($A47,'Institution Evaluation'!$A$56:$F$346,6,0)&amp;""</f>
        <v/>
      </c>
      <c r="I47" s="5"/>
      <c r="J47" s="5"/>
    </row>
    <row r="48" s="1" customFormat="true" ht="49.5" hidden="false" customHeight="true" outlineLevel="0" collapsed="false">
      <c r="A48" s="35" t="s">
        <v>269</v>
      </c>
      <c r="B48" s="45" t="str">
        <f aca="false">VLOOKUP($A48,Questions!$A$2:$X$333,2,0)</f>
        <v>Does your application provide the ability to define user access levels?</v>
      </c>
      <c r="C48" s="46"/>
      <c r="D48" s="87"/>
      <c r="E48" s="48" t="str">
        <f aca="false">IF($C$19="No",'Auto Responses'!$A$7,IF($C48="Yes",VLOOKUP($A48,Questions!$A$2:$X$333,17,0)&amp;"",IF($C48="No",VLOOKUP($A48,Questions!$A$2:$X$333,16,0)&amp;"",VLOOKUP($A48,Questions!$A$2:$X$333,15,0)&amp;"")))</f>
        <v>Based on the response to REQU-05 on the "START HERE" tab, this question does not apply to this product or service.</v>
      </c>
      <c r="F48" s="49" t="str">
        <f aca="false">VLOOKUP($A48,'Institution Evaluation'!$A$56:$F$346,6,0)&amp;""</f>
        <v/>
      </c>
      <c r="I48" s="5"/>
      <c r="J48" s="5"/>
    </row>
    <row r="49" s="1" customFormat="true" ht="49.5" hidden="false" customHeight="true" outlineLevel="0" collapsed="false">
      <c r="A49" s="35" t="s">
        <v>270</v>
      </c>
      <c r="B49" s="45" t="str">
        <f aca="false">VLOOKUP($A49,Questions!$A$2:$X$333,2,0)</f>
        <v>Does your application support varying levels of access to administrative tasks defined individually per user?</v>
      </c>
      <c r="C49" s="46"/>
      <c r="D49" s="87"/>
      <c r="E49" s="48" t="str">
        <f aca="false">IF($C$19="No",'Auto Responses'!$A$7,IF($C49="Yes",VLOOKUP($A49,Questions!$A$2:$X$333,17,0)&amp;"",IF($C49="No",VLOOKUP($A49,Questions!$A$2:$X$333,16,0)&amp;"",VLOOKUP($A49,Questions!$A$2:$X$333,15,0)&amp;"")))</f>
        <v>Based on the response to REQU-05 on the "START HERE" tab, this question does not apply to this product or service.</v>
      </c>
      <c r="F49" s="49" t="str">
        <f aca="false">VLOOKUP($A49,'Institution Evaluation'!$A$56:$F$346,6,0)&amp;""</f>
        <v/>
      </c>
      <c r="I49" s="5"/>
      <c r="J49" s="5"/>
    </row>
    <row r="50" s="1" customFormat="true" ht="49.5" hidden="false" customHeight="true" outlineLevel="0" collapsed="false">
      <c r="A50" s="35" t="s">
        <v>271</v>
      </c>
      <c r="B50" s="45" t="str">
        <f aca="false">VLOOKUP($A50,Questions!$A$2:$X$333,2,0)</f>
        <v>Does your application support varying levels of access to records based on user ID?</v>
      </c>
      <c r="C50" s="46"/>
      <c r="D50" s="87"/>
      <c r="E50" s="48" t="str">
        <f aca="false">IF($C$19="No",'Auto Responses'!$A$7,IF($C50="Yes",VLOOKUP($A50,Questions!$A$2:$X$333,17,0)&amp;"",IF($C50="No",VLOOKUP($A50,Questions!$A$2:$X$333,16,0)&amp;"",VLOOKUP($A50,Questions!$A$2:$X$333,15,0)&amp;"")))</f>
        <v>Based on the response to REQU-05 on the "START HERE" tab, this question does not apply to this product or service.</v>
      </c>
      <c r="F50" s="49" t="str">
        <f aca="false">VLOOKUP($A50,'Institution Evaluation'!$A$56:$F$346,6,0)&amp;""</f>
        <v/>
      </c>
      <c r="I50" s="5"/>
      <c r="J50" s="5"/>
    </row>
    <row r="51" s="1" customFormat="true" ht="49.5" hidden="false" customHeight="true" outlineLevel="0" collapsed="false">
      <c r="A51" s="35" t="s">
        <v>272</v>
      </c>
      <c r="B51" s="45" t="str">
        <f aca="false">VLOOKUP($A51,Questions!$A$2:$X$333,2,0)</f>
        <v>Is there a limit to the number of groups to which a user can be assigned?</v>
      </c>
      <c r="C51" s="46"/>
      <c r="D51" s="87"/>
      <c r="E51" s="48" t="str">
        <f aca="false">IF($C$19="No",'Auto Responses'!$A$7,IF($C51="Yes",VLOOKUP($A51,Questions!$A$2:$X$333,17,0)&amp;"",IF($C51="No",VLOOKUP($A51,Questions!$A$2:$X$333,16,0)&amp;"",VLOOKUP($A51,Questions!$A$2:$X$333,15,0)&amp;"")))</f>
        <v>Based on the response to REQU-05 on the "START HERE" tab, this question does not apply to this product or service.</v>
      </c>
      <c r="F51" s="49" t="str">
        <f aca="false">VLOOKUP($A51,'Institution Evaluation'!$A$56:$F$346,6,0)&amp;""</f>
        <v/>
      </c>
      <c r="I51" s="5"/>
      <c r="J51" s="5"/>
    </row>
    <row r="52" s="1" customFormat="true" ht="49.5" hidden="false" customHeight="true" outlineLevel="0" collapsed="false">
      <c r="A52" s="35" t="s">
        <v>273</v>
      </c>
      <c r="B52" s="45" t="str">
        <f aca="false">VLOOKUP($A52,Questions!$A$2:$X$333,2,0)</f>
        <v>Do accounts used for solution provider-supplied remote support abide by the same authentication policies and access logging as the rest of the system?</v>
      </c>
      <c r="C52" s="46"/>
      <c r="D52" s="87"/>
      <c r="E52" s="48" t="str">
        <f aca="false">IF($C$19="No",'Auto Responses'!$A$7,IF($C52="Yes",VLOOKUP($A52,Questions!$A$2:$X$333,17,0)&amp;"",IF($C52="No",VLOOKUP($A52,Questions!$A$2:$X$333,16,0)&amp;"",VLOOKUP($A52,Questions!$A$2:$X$333,15,0)&amp;"")))</f>
        <v>Based on the response to REQU-05 on the "START HERE" tab, this question does not apply to this product or service.</v>
      </c>
      <c r="F52" s="49" t="str">
        <f aca="false">VLOOKUP($A52,'Institution Evaluation'!$A$56:$F$346,6,0)&amp;""</f>
        <v/>
      </c>
      <c r="I52" s="5"/>
      <c r="J52" s="5"/>
    </row>
    <row r="53" s="1" customFormat="true" ht="49.5" hidden="false" customHeight="true" outlineLevel="0" collapsed="false">
      <c r="A53" s="35" t="s">
        <v>274</v>
      </c>
      <c r="B53" s="45" t="str">
        <f aca="false">VLOOKUP($A53,Questions!$A$2:$X$333,2,0)</f>
        <v>Does the application log record access including specific user, date/time of access, and originating IP or device?</v>
      </c>
      <c r="C53" s="46"/>
      <c r="D53" s="87"/>
      <c r="E53" s="48" t="str">
        <f aca="false">IF($C$19="No",'Auto Responses'!$A$7,IF($C53="Yes",VLOOKUP($A53,Questions!$A$2:$X$333,17,0)&amp;"",IF($C53="No",VLOOKUP($A53,Questions!$A$2:$X$333,16,0)&amp;"",VLOOKUP($A53,Questions!$A$2:$X$333,15,0)&amp;"")))</f>
        <v>Based on the response to REQU-05 on the "START HERE" tab, this question does not apply to this product or service.</v>
      </c>
      <c r="F53" s="49" t="str">
        <f aca="false">VLOOKUP($A53,'Institution Evaluation'!$A$56:$F$346,6,0)&amp;""</f>
        <v/>
      </c>
      <c r="I53" s="5"/>
      <c r="J53" s="5"/>
    </row>
    <row r="54" s="1" customFormat="true" ht="49.5" hidden="false" customHeight="true" outlineLevel="0" collapsed="false">
      <c r="A54" s="35" t="s">
        <v>275</v>
      </c>
      <c r="B54" s="45" t="str">
        <f aca="false">VLOOKUP($A54,Questions!$A$2:$X$333,2,0)</f>
        <v>Does the application log administrative activity, such as user account access changes and password changes, including specific user, date/time of changes, and originating IP or device?</v>
      </c>
      <c r="C54" s="46"/>
      <c r="D54" s="87"/>
      <c r="E54" s="48" t="str">
        <f aca="false">IF($C$19="No",'Auto Responses'!$A$7,IF($C54="Yes",VLOOKUP($A54,Questions!$A$2:$X$333,17,0)&amp;"",IF($C54="No",VLOOKUP($A54,Questions!$A$2:$X$333,16,0)&amp;"",VLOOKUP($A54,Questions!$A$2:$X$333,15,0)&amp;"")))</f>
        <v>Based on the response to REQU-05 on the "START HERE" tab, this question does not apply to this product or service.</v>
      </c>
      <c r="F54" s="49" t="str">
        <f aca="false">VLOOKUP($A54,'Institution Evaluation'!$A$56:$F$346,6,0)&amp;""</f>
        <v/>
      </c>
      <c r="I54" s="5"/>
      <c r="J54" s="5"/>
    </row>
    <row r="55" s="1" customFormat="true" ht="49.5" hidden="false" customHeight="true" outlineLevel="0" collapsed="false">
      <c r="A55" s="35" t="s">
        <v>276</v>
      </c>
      <c r="B55" s="45" t="str">
        <f aca="false">VLOOKUP($A55,Questions!$A$2:$X$333,2,0)</f>
        <v>Do you retain logs for at least as long as required by HIPAA regulations?</v>
      </c>
      <c r="C55" s="46"/>
      <c r="D55" s="87"/>
      <c r="E55" s="48" t="str">
        <f aca="false">IF($C$19="No",'Auto Responses'!$A$7,IF($C55="Yes",VLOOKUP($A55,Questions!$A$2:$X$333,17,0)&amp;"",IF($C55="No",VLOOKUP($A55,Questions!$A$2:$X$333,16,0)&amp;"",VLOOKUP($A55,Questions!$A$2:$X$333,15,0)&amp;"")))</f>
        <v>Based on the response to REQU-05 on the "START HERE" tab, this question does not apply to this product or service.</v>
      </c>
      <c r="F55" s="49" t="str">
        <f aca="false">VLOOKUP($A55,'Institution Evaluation'!$A$56:$F$346,6,0)&amp;""</f>
        <v/>
      </c>
      <c r="I55" s="5"/>
      <c r="J55" s="5"/>
    </row>
    <row r="56" s="1" customFormat="true" ht="49.5" hidden="false" customHeight="true" outlineLevel="0" collapsed="false">
      <c r="A56" s="35" t="s">
        <v>277</v>
      </c>
      <c r="B56" s="45" t="str">
        <f aca="false">VLOOKUP($A56,Questions!$A$2:$X$333,2,0)</f>
        <v>Can the application logs be archived?</v>
      </c>
      <c r="C56" s="46"/>
      <c r="D56" s="87"/>
      <c r="E56" s="48" t="str">
        <f aca="false">IF($C$19="No",'Auto Responses'!$A$7,IF($C56="Yes",VLOOKUP($A56,Questions!$A$2:$X$333,17,0)&amp;"",IF($C56="No",VLOOKUP($A56,Questions!$A$2:$X$333,16,0)&amp;"",VLOOKUP($A56,Questions!$A$2:$X$333,15,0)&amp;"")))</f>
        <v>Based on the response to REQU-05 on the "START HERE" tab, this question does not apply to this product or service.</v>
      </c>
      <c r="F56" s="49" t="str">
        <f aca="false">VLOOKUP($A56,'Institution Evaluation'!$A$56:$F$346,6,0)&amp;""</f>
        <v/>
      </c>
      <c r="I56" s="5"/>
      <c r="J56" s="5"/>
    </row>
    <row r="57" s="1" customFormat="true" ht="49.5" hidden="false" customHeight="true" outlineLevel="0" collapsed="false">
      <c r="A57" s="35" t="s">
        <v>278</v>
      </c>
      <c r="B57" s="45" t="str">
        <f aca="false">VLOOKUP($A57,Questions!$A$2:$X$333,2,0)</f>
        <v>Can the application logs be saved externally?</v>
      </c>
      <c r="C57" s="46"/>
      <c r="D57" s="87"/>
      <c r="E57" s="48" t="str">
        <f aca="false">IF($C$19="No",'Auto Responses'!$A$7,IF($C57="Yes",VLOOKUP($A57,Questions!$A$2:$X$333,17,0)&amp;"",IF($C57="No",VLOOKUP($A57,Questions!$A$2:$X$333,16,0)&amp;"",VLOOKUP($A57,Questions!$A$2:$X$333,15,0)&amp;"")))</f>
        <v>Based on the response to REQU-05 on the "START HERE" tab, this question does not apply to this product or service.</v>
      </c>
      <c r="F57" s="49" t="str">
        <f aca="false">VLOOKUP($A57,'Institution Evaluation'!$A$56:$F$346,6,0)&amp;""</f>
        <v/>
      </c>
      <c r="I57" s="5"/>
      <c r="J57" s="5"/>
    </row>
    <row r="58" s="1" customFormat="true" ht="49.5" hidden="false" customHeight="true" outlineLevel="0" collapsed="false">
      <c r="A58" s="35" t="s">
        <v>279</v>
      </c>
      <c r="B58" s="45" t="str">
        <f aca="false">VLOOKUP($A58,Questions!$A$2:$X$333,2,0)</f>
        <v>Do you have a disaster recovery plan and emergency mode operation plan?</v>
      </c>
      <c r="C58" s="46"/>
      <c r="D58" s="87"/>
      <c r="E58" s="48" t="str">
        <f aca="false">IF($C$19="No",'Auto Responses'!$A$7,IF($C58="Yes",VLOOKUP($A58,Questions!$A$2:$X$333,17,0)&amp;"",IF($C58="No",VLOOKUP($A58,Questions!$A$2:$X$333,16,0)&amp;"",VLOOKUP($A58,Questions!$A$2:$X$333,15,0)&amp;"")))</f>
        <v>Based on the response to REQU-05 on the "START HERE" tab, this question does not apply to this product or service.</v>
      </c>
      <c r="F58" s="49" t="str">
        <f aca="false">VLOOKUP($A58,'Institution Evaluation'!$A$56:$F$346,6,0)&amp;""</f>
        <v/>
      </c>
      <c r="I58" s="5"/>
      <c r="J58" s="5"/>
    </row>
    <row r="59" s="1" customFormat="true" ht="49.5" hidden="false" customHeight="true" outlineLevel="0" collapsed="false">
      <c r="A59" s="35" t="s">
        <v>280</v>
      </c>
      <c r="B59" s="45" t="str">
        <f aca="false">VLOOKUP($A59,Questions!$A$2:$X$333,2,0)</f>
        <v>Can you provide a HIPAA compliance attestation document?</v>
      </c>
      <c r="C59" s="46"/>
      <c r="D59" s="87"/>
      <c r="E59" s="48" t="str">
        <f aca="false">IF($C$19="No",'Auto Responses'!$A$7,IF($C59="Yes",VLOOKUP($A59,Questions!$A$2:$X$333,17,0)&amp;"",IF($C59="No",VLOOKUP($A59,Questions!$A$2:$X$333,16,0)&amp;"",VLOOKUP($A59,Questions!$A$2:$X$333,15,0)&amp;"")))</f>
        <v>Based on the response to REQU-05 on the "START HERE" tab, this question does not apply to this product or service.</v>
      </c>
      <c r="F59" s="49" t="str">
        <f aca="false">VLOOKUP($A59,'Institution Evaluation'!$A$56:$F$346,6,0)&amp;""</f>
        <v/>
      </c>
      <c r="I59" s="5"/>
      <c r="J59" s="5"/>
    </row>
    <row r="60" s="1" customFormat="true" ht="49.5" hidden="false" customHeight="true" outlineLevel="0" collapsed="false">
      <c r="A60" s="35" t="s">
        <v>281</v>
      </c>
      <c r="B60" s="45" t="str">
        <f aca="false">VLOOKUP($A60,Questions!$A$2:$X$333,2,0)</f>
        <v>Are you willing to enter into a Business Associate Agreement (BAA)?</v>
      </c>
      <c r="C60" s="46"/>
      <c r="D60" s="87"/>
      <c r="E60" s="48" t="str">
        <f aca="false">IF($C$19="No",'Auto Responses'!$A$7,IF($C60="Yes",VLOOKUP($A60,Questions!$A$2:$X$333,17,0)&amp;"",IF($C60="No",VLOOKUP($A60,Questions!$A$2:$X$333,16,0)&amp;"",VLOOKUP($A60,Questions!$A$2:$X$333,15,0)&amp;"")))</f>
        <v>Based on the response to REQU-05 on the "START HERE" tab, this question does not apply to this product or service.</v>
      </c>
      <c r="F60" s="49" t="str">
        <f aca="false">VLOOKUP($A60,'Institution Evaluation'!$A$56:$F$346,6,0)&amp;""</f>
        <v/>
      </c>
      <c r="I60" s="5"/>
      <c r="J60" s="5"/>
    </row>
    <row r="61" s="1" customFormat="true" ht="49.5" hidden="false" customHeight="true" outlineLevel="0" collapsed="false">
      <c r="A61" s="35" t="s">
        <v>282</v>
      </c>
      <c r="B61" s="45" t="str">
        <f aca="false">VLOOKUP($A61,Questions!$A$2:$X$333,2,0)</f>
        <v>Do your data backup and retention policies and practices meet HIPAA requirements?</v>
      </c>
      <c r="C61" s="46"/>
      <c r="D61" s="87"/>
      <c r="E61" s="48" t="str">
        <f aca="false">IF($C$19="No",'Auto Responses'!$A$7,IF($C61="Yes",VLOOKUP($A61,Questions!$A$2:$X$333,17,0)&amp;"",IF($C61="No",VLOOKUP($A61,Questions!$A$2:$X$333,16,0)&amp;"",VLOOKUP($A61,Questions!$A$2:$X$333,15,0)&amp;"")))</f>
        <v>Based on the response to REQU-05 on the "START HERE" tab, this question does not apply to this product or service.</v>
      </c>
      <c r="F61" s="49" t="str">
        <f aca="false">VLOOKUP($A61,'Institution Evaluation'!$A$56:$F$346,6,0)&amp;""</f>
        <v/>
      </c>
      <c r="G61" s="51" t="s">
        <v>37</v>
      </c>
      <c r="I61" s="5"/>
      <c r="J61" s="5"/>
    </row>
    <row r="62" s="1" customFormat="true" ht="36.75" hidden="false" customHeight="true" outlineLevel="0" collapsed="false">
      <c r="A62" s="31" t="str">
        <f aca="false">VLOOKUP(LEFT($A63,4),'Auto Responses'!$N$4:$O$38,2,0)&amp;""</f>
        <v> Payment Card Industry Data Security Standard (PCI DSS)</v>
      </c>
      <c r="B62" s="42"/>
      <c r="C62" s="19" t="s">
        <v>21</v>
      </c>
      <c r="D62" s="19" t="s">
        <v>22</v>
      </c>
      <c r="E62" s="43" t="s">
        <v>23</v>
      </c>
      <c r="F62" s="52" t="s">
        <v>24</v>
      </c>
      <c r="I62" s="5"/>
      <c r="J62" s="5"/>
    </row>
    <row r="63" s="1" customFormat="true" ht="38.25" hidden="false" customHeight="true" outlineLevel="0" collapsed="false">
      <c r="A63" s="35" t="s">
        <v>283</v>
      </c>
      <c r="B63" s="45" t="str">
        <f aca="false">VLOOKUP($A63,Questions!$A$2:$X$333,2,0)</f>
        <v>Do you have a current, executed within the past year, Attestation of Compliance (AoC) or Report on Compliance (RoC)?*</v>
      </c>
      <c r="C63" s="46"/>
      <c r="D63" s="70"/>
      <c r="E63" s="48" t="str">
        <f aca="false">IF($C$20="No",'Auto Responses'!$A$8,IF($C63="Yes",VLOOKUP($A63,Questions!$A$2:$X$333,17,0)&amp;"",IF($C63="No",VLOOKUP($A63,Questions!$A$2:$X$333,16,0)&amp;"",VLOOKUP($A63,Questions!$A$2:$X$333,15,0)&amp;"")))</f>
        <v>Based on the response to REQU-06 on the "START HERE" tab, this question does not apply to this product or service.</v>
      </c>
      <c r="F63" s="49" t="str">
        <f aca="false">VLOOKUP($A63,'Institution Evaluation'!$A$56:$F$346,6,0)&amp;""</f>
        <v/>
      </c>
      <c r="I63" s="5"/>
      <c r="J63" s="5"/>
    </row>
    <row r="64" s="1" customFormat="true" ht="38.25" hidden="false" customHeight="true" outlineLevel="0" collapsed="false">
      <c r="A64" s="35" t="s">
        <v>284</v>
      </c>
      <c r="B64" s="45" t="str">
        <f aca="false">VLOOKUP($A64,Questions!$A$2:$X$333,2,0)</f>
        <v>Is the application listed as an approved Payment Application Data Security Standard (PA-DSS) application?*</v>
      </c>
      <c r="C64" s="46"/>
      <c r="D64" s="70"/>
      <c r="E64" s="48" t="str">
        <f aca="false">IF($C$20="No",'Auto Responses'!$A$8,IF($C64="Yes",VLOOKUP($A64,Questions!$A$2:$X$333,17,0)&amp;"",IF($C64="No",VLOOKUP($A64,Questions!$A$2:$X$333,16,0)&amp;"",VLOOKUP($A64,Questions!$A$2:$X$333,15,0)&amp;"")))</f>
        <v>Based on the response to REQU-06 on the "START HERE" tab, this question does not apply to this product or service.</v>
      </c>
      <c r="F64" s="49" t="str">
        <f aca="false">VLOOKUP($A64,'Institution Evaluation'!$A$56:$F$346,6,0)&amp;""</f>
        <v/>
      </c>
      <c r="I64" s="5"/>
      <c r="J64" s="5"/>
    </row>
    <row r="65" s="1" customFormat="true" ht="38.25" hidden="false" customHeight="true" outlineLevel="0" collapsed="false">
      <c r="A65" s="35" t="s">
        <v>285</v>
      </c>
      <c r="B65" s="45" t="str">
        <f aca="false">VLOOKUP($A65,Questions!$A$2:$X$333,2,0)</f>
        <v>Does the system or solutions use a third party to collect, store, process, or transmit cardholder (payment/credit/debt card) data?*</v>
      </c>
      <c r="C65" s="46"/>
      <c r="D65" s="70"/>
      <c r="E65" s="48" t="str">
        <f aca="false">IF($C$20="No",'Auto Responses'!$A$8,IF($C65="Yes",VLOOKUP($A65,Questions!$A$2:$X$333,17,0)&amp;"",IF($C65="No",VLOOKUP($A65,Questions!$A$2:$X$333,16,0)&amp;"",VLOOKUP($A65,Questions!$A$2:$X$333,15,0)&amp;"")))</f>
        <v>Based on the response to REQU-06 on the "START HERE" tab, this question does not apply to this product or service.</v>
      </c>
      <c r="F65" s="49" t="str">
        <f aca="false">VLOOKUP($A65,'Institution Evaluation'!$A$56:$F$346,6,0)&amp;""</f>
        <v/>
      </c>
      <c r="I65" s="5"/>
      <c r="J65" s="5"/>
    </row>
    <row r="66" s="1" customFormat="true" ht="38.25" hidden="false" customHeight="true" outlineLevel="0" collapsed="false">
      <c r="A66" s="35" t="s">
        <v>286</v>
      </c>
      <c r="B66" s="45" t="str">
        <f aca="false">VLOOKUP($A66,Questions!$A$2:$X$333,2,0)</f>
        <v>Do your systems or solutions store, process, or transmit cardholder (payment/credit/debt card) data?</v>
      </c>
      <c r="C66" s="46"/>
      <c r="D66" s="70"/>
      <c r="E66" s="48" t="str">
        <f aca="false">IF($C$20="No",'Auto Responses'!$A$8,IF($C66="Yes",VLOOKUP($A66,Questions!$A$2:$X$333,17,0)&amp;"",IF($C66="No",VLOOKUP($A66,Questions!$A$2:$X$333,16,0)&amp;"",VLOOKUP($A66,Questions!$A$2:$X$333,15,0)&amp;"")))</f>
        <v>Based on the response to REQU-06 on the "START HERE" tab, this question does not apply to this product or service.</v>
      </c>
      <c r="F66" s="49" t="str">
        <f aca="false">VLOOKUP($A66,'Institution Evaluation'!$A$56:$F$346,6,0)&amp;""</f>
        <v/>
      </c>
      <c r="I66" s="5"/>
      <c r="J66" s="5"/>
    </row>
    <row r="67" s="1" customFormat="true" ht="38.25" hidden="false" customHeight="true" outlineLevel="0" collapsed="false">
      <c r="A67" s="35" t="s">
        <v>287</v>
      </c>
      <c r="B67" s="45" t="str">
        <f aca="false">VLOOKUP($A67,Questions!$A$2:$X$333,2,0)</f>
        <v>Are you compliant with the Payment Card Industry Data Security Standard (PCI DSS)?</v>
      </c>
      <c r="C67" s="46"/>
      <c r="D67" s="70"/>
      <c r="E67" s="48" t="str">
        <f aca="false">IF($C$20="No",'Auto Responses'!$A$8,IF($C67="Yes",VLOOKUP($A67,Questions!$A$2:$X$333,17,0)&amp;"",IF($C67="No",VLOOKUP($A67,Questions!$A$2:$X$333,16,0)&amp;"",VLOOKUP($A67,Questions!$A$2:$X$333,15,0)&amp;"")))</f>
        <v>Based on the response to REQU-06 on the "START HERE" tab, this question does not apply to this product or service.</v>
      </c>
      <c r="F67" s="49" t="str">
        <f aca="false">VLOOKUP($A67,'Institution Evaluation'!$A$56:$F$346,6,0)&amp;""</f>
        <v/>
      </c>
      <c r="I67" s="5"/>
      <c r="J67" s="5"/>
    </row>
    <row r="68" s="1" customFormat="true" ht="38.25" hidden="false" customHeight="true" outlineLevel="0" collapsed="false">
      <c r="A68" s="35" t="s">
        <v>288</v>
      </c>
      <c r="B68" s="45" t="str">
        <f aca="false">VLOOKUP($A68,Questions!$A$2:$X$333,2,0)</f>
        <v>Are you classified as a service provider?</v>
      </c>
      <c r="C68" s="46"/>
      <c r="D68" s="70"/>
      <c r="E68" s="48" t="str">
        <f aca="false">IF($C$20="No",'Auto Responses'!$A$8,IF($C68="Yes",VLOOKUP($A68,Questions!$A$2:$X$333,17,0)&amp;"",IF($C68="No",VLOOKUP($A68,Questions!$A$2:$X$333,16,0)&amp;"",VLOOKUP($A68,Questions!$A$2:$X$333,15,0)&amp;"")))</f>
        <v>Based on the response to REQU-06 on the "START HERE" tab, this question does not apply to this product or service.</v>
      </c>
      <c r="F68" s="49" t="str">
        <f aca="false">VLOOKUP($A68,'Institution Evaluation'!$A$56:$F$346,6,0)&amp;""</f>
        <v/>
      </c>
      <c r="I68" s="5"/>
      <c r="J68" s="5"/>
    </row>
    <row r="69" s="1" customFormat="true" ht="38.25" hidden="false" customHeight="true" outlineLevel="0" collapsed="false">
      <c r="A69" s="35" t="s">
        <v>289</v>
      </c>
      <c r="B69" s="45" t="str">
        <f aca="false">VLOOKUP($A69,Questions!$A$2:$X$333,2,0)</f>
        <v>Are you on the list of Visa approved service providers?</v>
      </c>
      <c r="C69" s="46"/>
      <c r="D69" s="70"/>
      <c r="E69" s="48" t="str">
        <f aca="false">IF($C$20="No",'Auto Responses'!$A$8,IF($C69="Yes",VLOOKUP($A69,Questions!$A$2:$X$333,17,0)&amp;"",IF($C69="No",VLOOKUP($A69,Questions!$A$2:$X$333,16,0)&amp;"",VLOOKUP($A69,Questions!$A$2:$X$333,15,0)&amp;"")))</f>
        <v>Based on the response to REQU-06 on the "START HERE" tab, this question does not apply to this product or service.</v>
      </c>
      <c r="F69" s="49" t="str">
        <f aca="false">VLOOKUP($A69,'Institution Evaluation'!$A$56:$F$346,6,0)&amp;""</f>
        <v/>
      </c>
      <c r="I69" s="5"/>
      <c r="J69" s="5"/>
    </row>
    <row r="70" s="1" customFormat="true" ht="48" hidden="false" customHeight="true" outlineLevel="0" collapsed="false">
      <c r="A70" s="35" t="s">
        <v>290</v>
      </c>
      <c r="B70" s="45" t="str">
        <f aca="false">VLOOKUP($A70,Questions!$A$2:$X$333,2,0)</f>
        <v>Are you classified as a merchant? If so, what level (1, 2, 3, 4)?</v>
      </c>
      <c r="C70" s="46"/>
      <c r="D70" s="70"/>
      <c r="E70" s="48" t="str">
        <f aca="false">IF($C$20="No",'Auto Responses'!$A$8,IF($C70="Yes",VLOOKUP($A70,Questions!$A$2:$X$333,17,0)&amp;"",IF($C70="No",VLOOKUP($A70,Questions!$A$2:$X$333,16,0)&amp;"",VLOOKUP($A70,Questions!$A$2:$X$333,15,0)&amp;"")))</f>
        <v>Based on the response to REQU-06 on the "START HERE" tab, this question does not apply to this product or service.</v>
      </c>
      <c r="F70" s="49" t="str">
        <f aca="false">VLOOKUP($A70,'Institution Evaluation'!$A$56:$F$346,6,0)&amp;""</f>
        <v/>
      </c>
      <c r="I70" s="5"/>
      <c r="J70" s="5"/>
    </row>
    <row r="71" s="1" customFormat="true" ht="38.25" hidden="false" customHeight="true" outlineLevel="0" collapsed="false">
      <c r="A71" s="35" t="s">
        <v>291</v>
      </c>
      <c r="B71" s="45" t="str">
        <f aca="false">VLOOKUP($A71,Questions!$A$2:$X$333,2,0)</f>
        <v>Describe the architecture employed by the system to verify and authorize credit card transactions.</v>
      </c>
      <c r="C71" s="46"/>
      <c r="D71" s="70"/>
      <c r="E71" s="48" t="str">
        <f aca="false">IF($C$20="No",'Auto Responses'!$A$8,IF($C71="Yes",VLOOKUP($A71,Questions!$A$2:$X$333,17,0)&amp;"",IF($C71="No",VLOOKUP($A71,Questions!$A$2:$X$333,16,0)&amp;"",VLOOKUP($A71,Questions!$A$2:$X$333,15,0)&amp;"")))</f>
        <v>Based on the response to REQU-06 on the "START HERE" tab, this question does not apply to this product or service.</v>
      </c>
      <c r="F71" s="49" t="str">
        <f aca="false">VLOOKUP($A71,'Institution Evaluation'!$A$56:$F$346,6,0)&amp;""</f>
        <v/>
      </c>
      <c r="I71" s="5"/>
      <c r="J71" s="5"/>
    </row>
    <row r="72" s="1" customFormat="true" ht="38.25" hidden="false" customHeight="true" outlineLevel="0" collapsed="false">
      <c r="A72" s="35" t="s">
        <v>292</v>
      </c>
      <c r="B72" s="45" t="str">
        <f aca="false">VLOOKUP($A72,Questions!$A$2:$X$333,2,0)</f>
        <v>What payment processors/gateways does the system support?</v>
      </c>
      <c r="C72" s="46"/>
      <c r="D72" s="70"/>
      <c r="E72" s="48" t="str">
        <f aca="false">IF($C$20="No",'Auto Responses'!$A$8,IF($C72="Yes",VLOOKUP($A72,Questions!$A$2:$X$333,17,0)&amp;"",IF($C72="No",VLOOKUP($A72,Questions!$A$2:$X$333,16,0)&amp;"",VLOOKUP($A72,Questions!$A$2:$X$333,15,0)&amp;"")))</f>
        <v>Based on the response to REQU-06 on the "START HERE" tab, this question does not apply to this product or service.</v>
      </c>
      <c r="F72" s="49" t="str">
        <f aca="false">VLOOKUP($A72,'Institution Evaluation'!$A$56:$F$346,6,0)&amp;""</f>
        <v/>
      </c>
      <c r="I72" s="5"/>
      <c r="J72" s="5"/>
    </row>
    <row r="73" s="1" customFormat="true" ht="38.25" hidden="false" customHeight="true" outlineLevel="0" collapsed="false">
      <c r="A73" s="35" t="s">
        <v>293</v>
      </c>
      <c r="B73" s="45" t="str">
        <f aca="false">VLOOKUP($A73,Questions!$A$2:$X$333,2,0)</f>
        <v>Can the application be installed in a PCI DSS–compliant manner?</v>
      </c>
      <c r="C73" s="46"/>
      <c r="D73" s="70"/>
      <c r="E73" s="48" t="str">
        <f aca="false">IF($C$20="No",'Auto Responses'!$A$8,IF($C73="Yes",VLOOKUP($A73,Questions!$A$2:$X$333,17,0)&amp;"",IF($C73="No",VLOOKUP($A73,Questions!$A$2:$X$333,16,0)&amp;"",VLOOKUP($A73,Questions!$A$2:$X$333,15,0)&amp;"")))</f>
        <v>Based on the response to REQU-06 on the "START HERE" tab, this question does not apply to this product or service.</v>
      </c>
      <c r="F73" s="49" t="str">
        <f aca="false">VLOOKUP($A73,'Institution Evaluation'!$A$56:$F$346,6,0)&amp;""</f>
        <v/>
      </c>
      <c r="I73" s="5"/>
      <c r="J73" s="5"/>
    </row>
    <row r="74" s="1" customFormat="true" ht="71.25" hidden="false" customHeight="true" outlineLevel="0" collapsed="false">
      <c r="A74" s="35" t="s">
        <v>294</v>
      </c>
      <c r="B74" s="45" t="str">
        <f aca="false">VLOOKUP($A74,Questions!$A$2:$X$333,2,0)</f>
        <v>Include documentation describing the system's abilities to comply with the PCI DSS and any features or capabilities of the system that must be added or changed in order to operate in compliance with the standards.</v>
      </c>
      <c r="C74" s="37"/>
      <c r="D74" s="70"/>
      <c r="E74" s="48" t="str">
        <f aca="false">IF($C$20="No",'Auto Responses'!$A$8,IF($C74="Yes",VLOOKUP($A74,Questions!$A$2:$X$333,17,0)&amp;"",IF($C74="No",VLOOKUP($A74,Questions!$A$2:$X$333,16,0)&amp;"",VLOOKUP($A74,Questions!$A$2:$X$333,15,0)&amp;"")))</f>
        <v>Based on the response to REQU-06 on the "START HERE" tab, this question does not apply to this product or service.</v>
      </c>
      <c r="F74" s="49" t="str">
        <f aca="false">VLOOKUP($A74,'Institution Evaluation'!$A$56:$F$346,6,0)&amp;""</f>
        <v/>
      </c>
      <c r="G74" s="51" t="s">
        <v>37</v>
      </c>
      <c r="I74" s="5"/>
      <c r="J74" s="5"/>
    </row>
    <row r="75" s="1" customFormat="true" ht="36.75" hidden="false" customHeight="true" outlineLevel="0" collapsed="false">
      <c r="A75" s="31" t="str">
        <f aca="false">VLOOKUP(LEFT($A76,4),'Auto Responses'!$N$4:$O$38,2,0)&amp;""</f>
        <v> On-Premises Data Solutions</v>
      </c>
      <c r="B75" s="42"/>
      <c r="C75" s="19" t="s">
        <v>21</v>
      </c>
      <c r="D75" s="19" t="s">
        <v>22</v>
      </c>
      <c r="E75" s="43" t="s">
        <v>23</v>
      </c>
      <c r="F75" s="52" t="s">
        <v>24</v>
      </c>
      <c r="I75" s="5"/>
      <c r="J75" s="5"/>
    </row>
    <row r="76" s="1" customFormat="true" ht="36" hidden="false" customHeight="true" outlineLevel="0" collapsed="false">
      <c r="A76" s="35" t="s">
        <v>295</v>
      </c>
      <c r="B76" s="45" t="str">
        <f aca="false">VLOOKUP($A76,Questions!$A$2:$X$333,2,0)</f>
        <v>Do you support role-based access control (RBAC) for system administrators?</v>
      </c>
      <c r="C76" s="46"/>
      <c r="D76" s="70"/>
      <c r="E76" s="48" t="str">
        <f aca="false">IF($C$21="No",'Auto Responses'!$A$9,IF($C76="Yes",VLOOKUP($A76,Questions!$A$2:$X$333,17,0)&amp;"",IF($C76="No",VLOOKUP($A76,Questions!$A$2:$X$333,16,0)&amp;"",VLOOKUP($A76,Questions!$A$2:$X$333,15,0)&amp;"")))</f>
        <v>Based on the response to REQU-07 on the "START HERE" tab, this question does not apply to this product or service.</v>
      </c>
      <c r="F76" s="49" t="str">
        <f aca="false">VLOOKUP($A76,'Institution Evaluation'!$A$56:$F$346,6,0)&amp;""</f>
        <v/>
      </c>
      <c r="I76" s="5"/>
      <c r="J76" s="5"/>
    </row>
    <row r="77" s="1" customFormat="true" ht="28.5" hidden="false" customHeight="true" outlineLevel="0" collapsed="false">
      <c r="A77" s="35" t="s">
        <v>296</v>
      </c>
      <c r="B77" s="45" t="str">
        <f aca="false">VLOOKUP($A77,Questions!$A$2:$X$333,2,0)</f>
        <v>Can your employees access customer systems remotely?</v>
      </c>
      <c r="C77" s="46"/>
      <c r="D77" s="70"/>
      <c r="E77" s="48" t="str">
        <f aca="false">IF($C$21="No",'Auto Responses'!$A$9,IF($C77="Yes",VLOOKUP($A77,Questions!$A$2:$X$333,17,0)&amp;"",IF($C77="No",VLOOKUP($A77,Questions!$A$2:$X$333,16,0)&amp;"",VLOOKUP($A77,Questions!$A$2:$X$333,15,0)&amp;"")))</f>
        <v>Based on the response to REQU-07 on the "START HERE" tab, this question does not apply to this product or service.</v>
      </c>
      <c r="F77" s="49" t="str">
        <f aca="false">VLOOKUP($A77,'Institution Evaluation'!$A$56:$F$346,6,0)&amp;""</f>
        <v/>
      </c>
      <c r="I77" s="5"/>
      <c r="J77" s="5"/>
    </row>
    <row r="78" s="1" customFormat="true" ht="68.25" hidden="false" customHeight="true" outlineLevel="0" collapsed="false">
      <c r="A78" s="35" t="s">
        <v>297</v>
      </c>
      <c r="B78" s="45" t="str">
        <f aca="false">VLOOKUP($A78,Questions!$A$2:$X$333,2,0)</f>
        <v>Can you provide overall system and/or application architecture diagrams including a full description of the data communications architecture for all components of the system?</v>
      </c>
      <c r="C78" s="46"/>
      <c r="D78" s="70"/>
      <c r="E78" s="48" t="str">
        <f aca="false">IF($C$21="No",'Auto Responses'!$A$9,IF($C78="Yes",VLOOKUP($A78,Questions!$A$2:$X$333,17,0)&amp;"",IF($C78="No",VLOOKUP($A78,Questions!$A$2:$X$333,16,0)&amp;"",VLOOKUP($A78,Questions!$A$2:$X$333,15,0)&amp;"")))</f>
        <v>Based on the response to REQU-07 on the "START HERE" tab, this question does not apply to this product or service.</v>
      </c>
      <c r="F78" s="49" t="str">
        <f aca="false">VLOOKUP($A78,'Institution Evaluation'!$A$56:$F$346,6,0)&amp;""</f>
        <v/>
      </c>
      <c r="I78" s="5"/>
      <c r="J78" s="5"/>
    </row>
    <row r="79" s="1" customFormat="true" ht="46.5" hidden="false" customHeight="true" outlineLevel="0" collapsed="false">
      <c r="A79" s="35" t="s">
        <v>298</v>
      </c>
      <c r="B79" s="45" t="str">
        <f aca="false">VLOOKUP($A79,Questions!$A$2:$X$333,2,0)</f>
        <v>Do you require remote management of the system?</v>
      </c>
      <c r="C79" s="46"/>
      <c r="D79" s="70"/>
      <c r="E79" s="48" t="str">
        <f aca="false">IF($C$21="No",'Auto Responses'!$A$9,IF($C79="Yes",VLOOKUP($A79,Questions!$A$2:$X$333,17,0)&amp;"",IF($C79="No",VLOOKUP($A79,Questions!$A$2:$X$333,16,0)&amp;"",VLOOKUP($A79,Questions!$A$2:$X$333,15,0)&amp;"")))</f>
        <v>Based on the response to REQU-07 on the "START HERE" tab, this question does not apply to this product or service.</v>
      </c>
      <c r="F79" s="49" t="str">
        <f aca="false">VLOOKUP($A79,'Institution Evaluation'!$A$56:$F$346,6,0)&amp;""</f>
        <v/>
      </c>
      <c r="I79" s="5"/>
      <c r="J79" s="5"/>
    </row>
    <row r="80" customFormat="false" ht="60" hidden="false" customHeight="true" outlineLevel="0" collapsed="false">
      <c r="A80" s="35" t="s">
        <v>299</v>
      </c>
      <c r="B80" s="45" t="str">
        <f aca="false">VLOOKUP($A80,Questions!$A$2:$X$333,2,0)</f>
        <v>If you answered "yes" to OPEM-04, are your remote actions and changes logged or otherwise visible to the campus?</v>
      </c>
      <c r="C80" s="46"/>
      <c r="D80" s="70"/>
      <c r="E80" s="48" t="str">
        <f aca="false">IF($C$21="No",'Auto Responses'!$A$9,IF($C80="Yes",VLOOKUP($A80,Questions!$A$2:$X$333,17,0)&amp;"",IF($C80="No",VLOOKUP($A80,Questions!$A$2:$X$333,16,0)&amp;"",IF($C80="N/A",VLOOKUP($A80,Questions!$A$2:$X$333,18,0)&amp;"",VLOOKUP($A80,Questions!$A$2:$X$333,15,0)&amp;""))))</f>
        <v>Based on the response to REQU-07 on the "START HERE" tab, this question does not apply to this product or service.</v>
      </c>
      <c r="F80" s="49" t="str">
        <f aca="false">VLOOKUP($A80,'Institution Evaluation'!$A$56:$F$346,6,0)&amp;""</f>
        <v/>
      </c>
    </row>
    <row r="81" customFormat="false" ht="47.25" hidden="false" customHeight="true" outlineLevel="0" collapsed="false">
      <c r="A81" s="35" t="s">
        <v>300</v>
      </c>
      <c r="B81" s="45" t="str">
        <f aca="false">VLOOKUP($A81,Questions!$A$2:$X$333,2,0)</f>
        <v>If you maintain remote access to the system, will you handle data in a FERPA-compliant manner?</v>
      </c>
      <c r="C81" s="46"/>
      <c r="D81" s="70"/>
      <c r="E81" s="48" t="str">
        <f aca="false">IF($C$21="No",'Auto Responses'!$A$9,IF($C81="Yes",VLOOKUP($A81,Questions!$A$2:$X$333,17,0)&amp;"",IF($C81="No",VLOOKUP($A81,Questions!$A$2:$X$333,16,0)&amp;"",VLOOKUP($A81,Questions!$A$2:$X$333,15,0)&amp;"")))</f>
        <v>Based on the response to REQU-07 on the "START HERE" tab, this question does not apply to this product or service.</v>
      </c>
      <c r="F81" s="49" t="str">
        <f aca="false">VLOOKUP($A81,'Institution Evaluation'!$A$56:$F$346,6,0)&amp;""</f>
        <v/>
      </c>
    </row>
    <row r="82" customFormat="false" ht="43.5" hidden="false" customHeight="true" outlineLevel="0" collapsed="false">
      <c r="A82" s="35" t="s">
        <v>301</v>
      </c>
      <c r="B82" s="45" t="str">
        <f aca="false">VLOOKUP($A82,Questions!$A$2:$X$333,2,0)</f>
        <v>Do you support campus status monitoring through SNMPv3 or other means?</v>
      </c>
      <c r="C82" s="46"/>
      <c r="D82" s="70"/>
      <c r="E82" s="48" t="str">
        <f aca="false">IF($C$21="No",'Auto Responses'!$A$9,IF($C82="Yes",VLOOKUP($A82,Questions!$A$2:$X$333,17,0)&amp;"",IF($C82="No",VLOOKUP($A82,Questions!$A$2:$X$333,16,0)&amp;"",VLOOKUP($A82,Questions!$A$2:$X$333,15,0)&amp;"")))</f>
        <v>Based on the response to REQU-07 on the "START HERE" tab, this question does not apply to this product or service.</v>
      </c>
      <c r="F82" s="49" t="str">
        <f aca="false">VLOOKUP($A82,'Institution Evaluation'!$A$56:$F$346,6,0)&amp;""</f>
        <v/>
      </c>
    </row>
    <row r="83" customFormat="false" ht="42" hidden="false" customHeight="true" outlineLevel="0" collapsed="false">
      <c r="A83" s="35" t="s">
        <v>302</v>
      </c>
      <c r="B83" s="45" t="str">
        <f aca="false">VLOOKUP($A83,Questions!$A$2:$X$333,2,0)</f>
        <v>Describe or provide a reference to any other safeguards used to monitor for malicious activity.</v>
      </c>
      <c r="C83" s="46"/>
      <c r="D83" s="70"/>
      <c r="E83" s="48" t="str">
        <f aca="false">IF($C$21="No",'Auto Responses'!$A$9,IF($C83="Yes",VLOOKUP($A83,Questions!$A$2:$X$333,17,0)&amp;"",IF($C83="No",VLOOKUP($A83,Questions!$A$2:$X$333,16,0)&amp;"",VLOOKUP($A83,Questions!$A$2:$X$333,15,0)&amp;"")))</f>
        <v>Based on the response to REQU-07 on the "START HERE" tab, this question does not apply to this product or service.</v>
      </c>
      <c r="F83" s="49" t="str">
        <f aca="false">VLOOKUP($A83,'Institution Evaluation'!$A$56:$F$346,6,0)&amp;""</f>
        <v/>
      </c>
    </row>
    <row r="84" customFormat="false" ht="54" hidden="false" customHeight="true" outlineLevel="0" collapsed="false">
      <c r="A84" s="35" t="s">
        <v>303</v>
      </c>
      <c r="B84" s="45" t="str">
        <f aca="false">VLOOKUP($A84,Questions!$A$2:$X$333,2,0)</f>
        <v>Describe how long your organization has conducted business in this area.</v>
      </c>
      <c r="C84" s="46"/>
      <c r="D84" s="70"/>
      <c r="E84" s="48" t="str">
        <f aca="false">IF($C$21="No",'Auto Responses'!$A$9,IF($C84="Yes",VLOOKUP($A84,Questions!$A$2:$X$333,17,0)&amp;"",IF($C84="No",VLOOKUP($A84,Questions!$A$2:$X$333,16,0)&amp;"",VLOOKUP($A84,Questions!$A$2:$X$333,15,0)&amp;"")))</f>
        <v>Based on the response to REQU-07 on the "START HERE" tab, this question does not apply to this product or service.</v>
      </c>
      <c r="F84" s="49" t="str">
        <f aca="false">VLOOKUP($A84,'Institution Evaluation'!$A$56:$F$346,6,0)&amp;""</f>
        <v/>
      </c>
    </row>
    <row r="85" customFormat="false" ht="39.75" hidden="false" customHeight="true" outlineLevel="0" collapsed="false">
      <c r="A85" s="35" t="s">
        <v>304</v>
      </c>
      <c r="B85" s="45" t="str">
        <f aca="false">VLOOKUP($A85,Questions!$A$2:$X$333,2,0)</f>
        <v>Do you have existing higher education customers?</v>
      </c>
      <c r="C85" s="46"/>
      <c r="D85" s="70" t="s">
        <v>305</v>
      </c>
      <c r="E85" s="48" t="str">
        <f aca="false">IF($C$21="No",'Auto Responses'!$A$9,IF($C85="Yes",VLOOKUP($A85,Questions!$A$2:$X$333,17,0)&amp;"",IF($C85="No",VLOOKUP($A85,Questions!$A$2:$X$333,16,0)&amp;"",VLOOKUP($A85,Questions!$A$2:$X$333,15,0)&amp;"")))</f>
        <v>Based on the response to REQU-07 on the "START HERE" tab, this question does not apply to this product or service.</v>
      </c>
      <c r="F85" s="49" t="str">
        <f aca="false">VLOOKUP($A85,'Institution Evaluation'!$A$56:$F$346,6,0)&amp;""</f>
        <v/>
      </c>
      <c r="G85" s="51" t="s">
        <v>37</v>
      </c>
    </row>
    <row r="86" customFormat="false" ht="36.75" hidden="false" customHeight="true" outlineLevel="0" collapsed="false">
      <c r="A86" s="61" t="s">
        <v>50</v>
      </c>
    </row>
    <row r="87" customFormat="false" ht="15" hidden="true" customHeight="true" outlineLevel="0" collapsed="false">
      <c r="A87" s="1"/>
      <c r="B87" s="2"/>
      <c r="C87" s="76"/>
      <c r="D87" s="4"/>
      <c r="E87" s="1"/>
      <c r="H87" s="5"/>
      <c r="I87" s="1"/>
      <c r="J87" s="1"/>
    </row>
    <row r="88" customFormat="false" ht="16.4" hidden="true" customHeight="false" outlineLevel="0" collapsed="false">
      <c r="A88" s="35" t="e">
        <f aca="false">#REF!</f>
        <v>#REF!</v>
      </c>
    </row>
    <row r="89" customFormat="false" ht="16.4" hidden="true" customHeight="false" outlineLevel="0" collapsed="false">
      <c r="A89" s="35" t="e">
        <f aca="false">#REF!</f>
        <v>#REF!</v>
      </c>
    </row>
    <row r="90" customFormat="false" ht="16.4" hidden="true" customHeight="false" outlineLevel="0" collapsed="false">
      <c r="A90" s="35" t="e">
        <f aca="false">#REF!</f>
        <v>#REF!</v>
      </c>
    </row>
    <row r="91" customFormat="false" ht="16.4" hidden="true" customHeight="false" outlineLevel="0" collapsed="false">
      <c r="A91" s="35" t="e">
        <f aca="false">#REF!</f>
        <v>#REF!</v>
      </c>
    </row>
    <row r="92" customFormat="false" ht="16.4" hidden="true" customHeight="false" outlineLevel="0" collapsed="false">
      <c r="A92" s="35" t="e">
        <f aca="false">#REF!</f>
        <v>#REF!</v>
      </c>
    </row>
    <row r="93" customFormat="false" ht="16.4" hidden="true" customHeight="false" outlineLevel="0" collapsed="false">
      <c r="A93" s="35" t="e">
        <f aca="false">#REF!</f>
        <v>#REF!</v>
      </c>
    </row>
    <row r="94" customFormat="false" ht="16.4" hidden="true" customHeight="false" outlineLevel="0" collapsed="false">
      <c r="A94" s="35" t="e">
        <f aca="false">#REF!</f>
        <v>#REF!</v>
      </c>
    </row>
  </sheetData>
  <dataValidations count="4">
    <dataValidation allowBlank="true" errorStyle="stop" operator="between" prompt="The HECVAT is built using a number of complex formulas. Editing this cell can break the functionality of the tool. " promptTitle="Warning!" showDropDown="false" showErrorMessage="true" showInputMessage="true" sqref="B2:F2 A3:B86 D3:F3 C4:F12 C17:F17 E18:F21 C22:F22 E23:F31 C32:F32 E33:F61 C62:F62 E63:F74 C75:F75 E76:F85" type="none">
      <formula1>0</formula1>
      <formula2>0</formula2>
    </dataValidation>
    <dataValidation allowBlank="true" errorStyle="stop" operator="between" prompt="This answer has been populated from the &quot;START HERE&quot; tab and does not need to be re-entered." showDropDown="false" showErrorMessage="true" showInputMessage="true" sqref="C3 C13:C16 C18:C21" type="none">
      <formula1>0</formula1>
      <formula2>0</formula2>
    </dataValidation>
    <dataValidation allowBlank="true" errorStyle="stop" operator="between" prompt="This cell should be left blank. Input your answer in column C." showDropDown="false" showErrorMessage="true" showInputMessage="true" sqref="D74" type="none">
      <formula1>0</formula1>
      <formula2>0</formula2>
    </dataValidation>
    <dataValidation allowBlank="true" errorStyle="stop" operator="between" showDropDown="false" showErrorMessage="true" showInputMessage="true" sqref="C23:C31 C33:C61 C63:C73 C76:C85" type="list">
      <formula1>'Auto Responses'!$J$3:$J$4</formula1>
      <formula2>0</formula2>
    </dataValidation>
  </dataValidations>
  <hyperlinks>
    <hyperlink ref="A11" r:id="rId1" display="http://www.educause.edu/HECVAT"/>
  </hyperlinks>
  <printOptions headings="false" gridLines="false" gridLinesSet="true" horizontalCentered="false" verticalCentered="false"/>
  <pageMargins left="0.75" right="0.75" top="1" bottom="1"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&amp;L&amp;"Arial,Regular"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636C"/>
    <pageSetUpPr fitToPage="false"/>
  </sheetPr>
  <dimension ref="A1:J1048576"/>
  <sheetViews>
    <sheetView showFormulas="false" showGridLines="false" showRowColHeaders="true" showZeros="false" rightToLeft="false" tabSelected="false" showOutlineSymbols="true" defaultGridColor="true" view="normal" topLeftCell="A1" colorId="64" zoomScale="95" zoomScaleNormal="95" zoomScalePageLayoutView="100" workbookViewId="0">
      <selection pane="topLeft" activeCell="C18" activeCellId="0" sqref="C18"/>
    </sheetView>
  </sheetViews>
  <sheetFormatPr defaultColWidth="6.6015625" defaultRowHeight="12.8" customHeight="true" zeroHeight="true" outlineLevelRow="0" outlineLevelCol="0"/>
  <cols>
    <col collapsed="false" customWidth="true" hidden="false" outlineLevel="0" max="1" min="1" style="0" width="8.3"/>
    <col collapsed="false" customWidth="true" hidden="false" outlineLevel="0" max="2" min="2" style="1" width="55.1"/>
    <col collapsed="false" customWidth="true" hidden="false" outlineLevel="0" max="3" min="3" style="2" width="18.9"/>
    <col collapsed="false" customWidth="true" hidden="false" outlineLevel="0" max="4" min="4" style="3" width="55.7"/>
    <col collapsed="false" customWidth="true" hidden="false" outlineLevel="0" max="5" min="5" style="4" width="32"/>
    <col collapsed="false" customWidth="true" hidden="false" outlineLevel="0" max="6" min="6" style="88" width="30.7"/>
    <col collapsed="false" customWidth="true" hidden="false" outlineLevel="0" max="7" min="7" style="1" width="18.1"/>
    <col collapsed="false" customWidth="true" hidden="true" outlineLevel="0" max="8" min="8" style="1" width="18.1"/>
    <col collapsed="false" customWidth="true" hidden="true" outlineLevel="0" max="10" min="9" style="5" width="18.1"/>
    <col collapsed="false" customWidth="true" hidden="true" outlineLevel="0" max="11" min="11" style="1" width="4.5"/>
    <col collapsed="false" customWidth="false" hidden="true" outlineLevel="0" max="12" min="12" style="1" width="6.6"/>
    <col collapsed="false" customWidth="false" hidden="true" outlineLevel="0" max="16384" min="13" style="0" width="6.6"/>
  </cols>
  <sheetData>
    <row r="1" customFormat="false" ht="231.3" hidden="true" customHeight="false" outlineLevel="0" collapsed="false">
      <c r="A1" s="0" t="s">
        <v>0</v>
      </c>
    </row>
    <row r="2" customFormat="false" ht="36" hidden="false" customHeight="true" outlineLevel="0" collapsed="false">
      <c r="A2" s="7" t="s">
        <v>306</v>
      </c>
      <c r="B2" s="7"/>
      <c r="C2" s="8"/>
      <c r="D2" s="9"/>
      <c r="E2" s="10"/>
      <c r="F2" s="89" t="str">
        <f aca="false">'Auto Responses'!$A$36</f>
        <v>Version 4.1.2</v>
      </c>
      <c r="J2" s="1"/>
    </row>
    <row r="3" s="1" customFormat="true" ht="28.5" hidden="false" customHeight="true" outlineLevel="0" collapsed="false">
      <c r="A3" s="11" t="s">
        <v>2</v>
      </c>
      <c r="B3" s="12"/>
      <c r="C3" s="62" t="n">
        <f aca="false">'START HERE'!$C$3</f>
        <v>0</v>
      </c>
      <c r="D3" s="14"/>
      <c r="E3" s="15"/>
      <c r="F3" s="16"/>
      <c r="I3" s="5"/>
    </row>
    <row r="4" s="1" customFormat="true" ht="36" hidden="false" customHeight="true" outlineLevel="0" collapsed="false">
      <c r="A4" s="17" t="s">
        <v>3</v>
      </c>
      <c r="B4" s="18"/>
      <c r="C4" s="19"/>
      <c r="D4" s="20"/>
      <c r="E4" s="21"/>
      <c r="F4" s="21"/>
      <c r="I4" s="5"/>
    </row>
    <row r="5" s="1" customFormat="true" ht="19.5" hidden="false" customHeight="true" outlineLevel="0" collapsed="false">
      <c r="A5" s="22" t="str">
        <f aca="false">HLOOKUP($A$4,'Auto Responses'!$D$2:$D$8,2,0)&amp;""</f>
        <v>1. Complete the "Start Here" tab and review the "Required Questions" guidance to find the other sections are required for your product or service.</v>
      </c>
      <c r="B5" s="23"/>
      <c r="C5" s="24"/>
      <c r="D5" s="25"/>
      <c r="E5" s="23"/>
      <c r="F5" s="26"/>
      <c r="I5" s="5"/>
    </row>
    <row r="6" s="1" customFormat="true" ht="19.5" hidden="false" customHeight="true" outlineLevel="0" collapsed="false">
      <c r="A6" s="22" t="str">
        <f aca="false">HLOOKUP($A$4,'Auto Responses'!$D$2:$D$8,3,0)&amp;""</f>
        <v>2. Complete the "Organization" tab and the applicable questions in each of the next 5 tabs (Product through Privacy) that apply, based on your answers to the "Required Questions."</v>
      </c>
      <c r="B6" s="23"/>
      <c r="C6" s="24"/>
      <c r="D6" s="25"/>
      <c r="E6" s="23"/>
      <c r="F6" s="27"/>
      <c r="I6" s="5"/>
    </row>
    <row r="7" s="1" customFormat="true" ht="19.5" hidden="false" customHeight="true" outlineLevel="0" collapsed="false">
      <c r="A7" s="22" t="str">
        <f aca="false">HLOOKUP($A$4,'Auto Responses'!$D$2:$D$8,4,0)&amp;""</f>
        <v>3. Guidance in column E may change based on your answers to prompt details in "Additional Information." If leaving an answer blank, you must also state why in "Additional Information". </v>
      </c>
      <c r="B7" s="23"/>
      <c r="C7" s="24"/>
      <c r="D7" s="25"/>
      <c r="E7" s="23"/>
      <c r="F7" s="27"/>
      <c r="I7" s="5"/>
    </row>
    <row r="8" s="1" customFormat="true" ht="19.5" hidden="false" customHeight="true" outlineLevel="0" collapsed="false">
      <c r="A8" s="22" t="str">
        <f aca="false">HLOOKUP($A$4,'Auto Responses'!$D$2:$D$8,5,0)&amp;""</f>
        <v>4. DO NOT complete any fields in the "Evaluation" sheets or the "Analyst Notes" column.</v>
      </c>
      <c r="B8" s="23"/>
      <c r="C8" s="24"/>
      <c r="D8" s="25"/>
      <c r="E8" s="23"/>
      <c r="F8" s="27"/>
      <c r="I8" s="5"/>
    </row>
    <row r="9" s="1" customFormat="true" ht="19.5" hidden="false" customHeight="true" outlineLevel="0" collapsed="false">
      <c r="A9" s="22" t="str">
        <f aca="false">HLOOKUP($A$4,'Auto Responses'!$D$2:$D$8,6,0)&amp;""</f>
        <v>5. Return the completed file to institutions.</v>
      </c>
      <c r="B9" s="23"/>
      <c r="C9" s="24"/>
      <c r="D9" s="25"/>
      <c r="E9" s="23"/>
      <c r="F9" s="27"/>
      <c r="I9" s="5"/>
    </row>
    <row r="10" s="1" customFormat="true" ht="19.5" hidden="false" customHeight="true" outlineLevel="0" collapsed="false">
      <c r="A10" s="28" t="str">
        <f aca="false">HLOOKUP($A$4,'Auto Responses'!$D$2:$D$8,7,0)&amp;""</f>
        <v>* Denotes critical questions. Critical questions are those deemed most important to institutions by higher education volunteers.</v>
      </c>
      <c r="B10" s="23"/>
      <c r="C10" s="24"/>
      <c r="D10" s="25"/>
      <c r="E10" s="23"/>
      <c r="F10" s="27"/>
      <c r="I10" s="5"/>
    </row>
    <row r="11" s="1" customFormat="true" ht="19.5" hidden="false" customHeight="true" outlineLevel="0" collapsed="false">
      <c r="A11" s="29" t="str">
        <f aca="false">HLOOKUP($A$4,'Auto Responses'!$D$2:$D$9,8,0)&amp;""</f>
        <v>For full instructions, please visit educause.edu/HECVAT</v>
      </c>
      <c r="B11" s="23"/>
      <c r="C11" s="24"/>
      <c r="D11" s="25"/>
      <c r="E11" s="23"/>
      <c r="F11" s="30"/>
      <c r="I11" s="5"/>
    </row>
    <row r="12" s="1" customFormat="true" ht="36" hidden="false" customHeight="true" outlineLevel="0" collapsed="false">
      <c r="A12" s="31" t="str">
        <f aca="false">VLOOKUP(LEFT($A13,4),'Auto Responses'!$N$4:$O$38,2,0)&amp;""</f>
        <v> General Information</v>
      </c>
      <c r="B12" s="18"/>
      <c r="C12" s="19" t="s">
        <v>21</v>
      </c>
      <c r="D12" s="33"/>
      <c r="E12" s="34"/>
      <c r="F12" s="34"/>
      <c r="I12" s="5"/>
      <c r="J12" s="5"/>
    </row>
    <row r="13" s="1" customFormat="true" ht="21.75" hidden="false" customHeight="true" outlineLevel="0" collapsed="false">
      <c r="A13" s="35" t="s">
        <v>4</v>
      </c>
      <c r="B13" s="36" t="str">
        <f aca="false">VLOOKUP($A13,Questions!$A$2:$X$333,2,0)&amp;""</f>
        <v>Solution Provider Name</v>
      </c>
      <c r="C13" s="37" t="str">
        <f aca="false">VLOOKUP($A13,'START HERE'!$A$13:$C$21,3,0)&amp;""</f>
        <v>QGIS.org</v>
      </c>
      <c r="D13" s="38"/>
      <c r="E13" s="38"/>
      <c r="F13" s="16"/>
      <c r="I13" s="5"/>
      <c r="J13" s="5"/>
    </row>
    <row r="14" s="1" customFormat="true" ht="21.75" hidden="false" customHeight="true" outlineLevel="0" collapsed="false">
      <c r="A14" s="35" t="s">
        <v>6</v>
      </c>
      <c r="B14" s="36" t="str">
        <f aca="false">VLOOKUP($A14,Questions!$A$2:$X$333,2,0)&amp;""</f>
        <v>Solution Name</v>
      </c>
      <c r="C14" s="37" t="str">
        <f aca="false">VLOOKUP($A14,'START HERE'!$A$13:$C$21,3,0)&amp;""</f>
        <v>QGIS.org</v>
      </c>
      <c r="D14" s="38"/>
      <c r="E14" s="38"/>
      <c r="F14" s="16"/>
      <c r="I14" s="5"/>
      <c r="J14" s="5"/>
    </row>
    <row r="15" s="1" customFormat="true" ht="21.75" hidden="false" customHeight="true" outlineLevel="0" collapsed="false">
      <c r="A15" s="35" t="s">
        <v>7</v>
      </c>
      <c r="B15" s="36" t="str">
        <f aca="false">VLOOKUP($A15,Questions!$A$2:$X$333,2,0)&amp;""</f>
        <v>Solution Description</v>
      </c>
      <c r="C15" s="37" t="str">
        <f aca="false">VLOOKUP($A15,'START HERE'!$A$13:$C$21,3,0)&amp;""</f>
        <v>QGIS is a free and open source Geographic information system, running on Windows, MacOS, Linux and with solution for mobile OS.</v>
      </c>
      <c r="D15" s="38"/>
      <c r="E15" s="38"/>
      <c r="F15" s="16"/>
      <c r="I15" s="5"/>
      <c r="J15" s="5"/>
    </row>
    <row r="16" s="1" customFormat="true" ht="21.75" hidden="false" customHeight="true" outlineLevel="0" collapsed="false">
      <c r="A16" s="35" t="s">
        <v>17</v>
      </c>
      <c r="B16" s="36" t="str">
        <f aca="false">VLOOKUP($A16,Questions!$A$2:$X$333,2,0)&amp;""</f>
        <v>Country of Company Headquarters</v>
      </c>
      <c r="C16" s="37" t="str">
        <f aca="false">VLOOKUP($A16,'START HERE'!$A$13:$C$21,3,0)&amp;""</f>
        <v>Switzerland</v>
      </c>
      <c r="D16" s="38"/>
      <c r="E16" s="38"/>
      <c r="F16" s="16"/>
      <c r="I16" s="5"/>
      <c r="J16" s="5"/>
    </row>
    <row r="17" s="1" customFormat="true" ht="36.75" hidden="false" customHeight="true" outlineLevel="0" collapsed="false">
      <c r="A17" s="31" t="str">
        <f aca="false">VLOOKUP(LEFT($A18,4),'Auto Responses'!$N$4:$O$38,2,0)&amp;""</f>
        <v> Required Questions</v>
      </c>
      <c r="B17" s="42"/>
      <c r="C17" s="19" t="s">
        <v>21</v>
      </c>
      <c r="D17" s="19" t="s">
        <v>22</v>
      </c>
      <c r="E17" s="43" t="s">
        <v>23</v>
      </c>
      <c r="F17" s="90" t="s">
        <v>24</v>
      </c>
      <c r="I17" s="5"/>
      <c r="J17" s="5"/>
    </row>
    <row r="18" s="1" customFormat="true" ht="38.25" hidden="false" customHeight="true" outlineLevel="0" collapsed="false">
      <c r="A18" s="35" t="s">
        <v>44</v>
      </c>
      <c r="B18" s="45" t="str">
        <f aca="false">VLOOKUP($A18,Questions!$A$2:$X$333,2,0)</f>
        <v>Does your solution have AI features, or are there plans to implement AI features in the next 12 months?</v>
      </c>
      <c r="C18" s="74" t="str">
        <f aca="false">VLOOKUP($A18,'START HERE'!$A$23:$F$36,3,0)&amp;""</f>
        <v>No</v>
      </c>
      <c r="D18" s="75" t="str">
        <f aca="false">VLOOKUP($A18,'START HERE'!$A$23:$F$36,4,0)&amp;""</f>
        <v/>
      </c>
      <c r="E18" s="48" t="str">
        <f aca="false">IF($C18="Yes",VLOOKUP($A18,Questions!$A$2:$X$333,17,0)&amp;"",IF($C18="No",VLOOKUP($A18,Questions!$A$2:$X$333,16,0)&amp;"",VLOOKUP($A18,Questions!$A$2:$X$333,15,0)&amp;""))</f>
        <v>DO NOT complete the Artificial Intelligence (AI) worksheet</v>
      </c>
      <c r="F18" s="49" t="str">
        <f aca="false">VLOOKUP($A18,'Institution Evaluation'!$A$56:$F$346,6,0)&amp;""</f>
        <v/>
      </c>
      <c r="G18" s="51" t="s">
        <v>37</v>
      </c>
      <c r="I18" s="5"/>
      <c r="J18" s="5"/>
    </row>
    <row r="19" s="1" customFormat="true" ht="36.75" hidden="false" customHeight="true" outlineLevel="0" collapsed="false">
      <c r="A19" s="31" t="str">
        <f aca="false">VLOOKUP(LEFT($A20,4),'Auto Responses'!$N$4:$O$38,2,0)&amp;""</f>
        <v> AI Qualifying Questions</v>
      </c>
      <c r="B19" s="42"/>
      <c r="C19" s="19" t="s">
        <v>21</v>
      </c>
      <c r="D19" s="19" t="s">
        <v>22</v>
      </c>
      <c r="E19" s="43" t="s">
        <v>23</v>
      </c>
      <c r="F19" s="90" t="s">
        <v>24</v>
      </c>
      <c r="I19" s="5"/>
      <c r="J19" s="5"/>
    </row>
    <row r="20" s="1" customFormat="true" ht="38.25" hidden="false" customHeight="true" outlineLevel="0" collapsed="false">
      <c r="A20" s="35" t="s">
        <v>307</v>
      </c>
      <c r="B20" s="45" t="str">
        <f aca="false">VLOOKUP($A20,Questions!$A$2:$X$333,2,0)</f>
        <v>Does your solution leverage machine learning (ML) or do you plan to do so in the next 12 months?</v>
      </c>
      <c r="C20" s="46"/>
      <c r="D20" s="47"/>
      <c r="E20" s="48" t="str">
        <f aca="false">IF($C$18="No",'Auto Responses'!$A$6,IF($C20="Yes",VLOOKUP($A20,Questions!$A$2:$X$333,17,0)&amp;"",IF($C20="No",VLOOKUP($A20,Questions!$A$2:$X$333,16,0)&amp;"",VLOOKUP($A20,Questions!$A$2:$X$333,15,0)&amp;"")))</f>
        <v>Based on the response to REQU-04 on the "START HERE" tab, this question does not apply to this product or service.</v>
      </c>
      <c r="F20" s="49" t="str">
        <f aca="false">VLOOKUP($A20,'Institution Evaluation'!$A$56:$F$346,6,0)&amp;""</f>
        <v/>
      </c>
      <c r="I20" s="5"/>
      <c r="J20" s="5"/>
    </row>
    <row r="21" s="1" customFormat="true" ht="45.75" hidden="false" customHeight="true" outlineLevel="0" collapsed="false">
      <c r="A21" s="35" t="s">
        <v>308</v>
      </c>
      <c r="B21" s="45" t="str">
        <f aca="false">VLOOKUP($A21,Questions!$A$2:$X$333,2,0)</f>
        <v>Does your solution leverage a large language model (LLM) or do you plan to do so in the next 12 months?</v>
      </c>
      <c r="C21" s="46"/>
      <c r="D21" s="47"/>
      <c r="E21" s="48" t="str">
        <f aca="false">IF($C$18="No",'Auto Responses'!$A$6,IF($C21="Yes",VLOOKUP($A21,Questions!$A$2:$X$333,17,0)&amp;"",IF($C21="No",VLOOKUP($A21,Questions!$A$2:$X$333,16,0)&amp;"",VLOOKUP($A21,Questions!$A$2:$X$333,15,0)&amp;"")))</f>
        <v>Based on the response to REQU-04 on the "START HERE" tab, this question does not apply to this product or service.</v>
      </c>
      <c r="F21" s="49" t="str">
        <f aca="false">VLOOKUP($A21,'Institution Evaluation'!$A$56:$F$346,6,0)&amp;""</f>
        <v/>
      </c>
      <c r="G21" s="51" t="s">
        <v>37</v>
      </c>
      <c r="I21" s="5"/>
      <c r="J21" s="5"/>
    </row>
    <row r="22" s="1" customFormat="true" ht="36.75" hidden="false" customHeight="true" outlineLevel="0" collapsed="false">
      <c r="A22" s="31" t="str">
        <f aca="false">VLOOKUP(LEFT($A23,4),'Auto Responses'!$N$4:$O$38,2,0)&amp;""</f>
        <v> General AI Questions</v>
      </c>
      <c r="B22" s="42"/>
      <c r="C22" s="19" t="s">
        <v>21</v>
      </c>
      <c r="D22" s="19" t="s">
        <v>22</v>
      </c>
      <c r="E22" s="43" t="s">
        <v>23</v>
      </c>
      <c r="F22" s="90" t="s">
        <v>24</v>
      </c>
      <c r="I22" s="5"/>
      <c r="J22" s="5"/>
    </row>
    <row r="23" s="1" customFormat="true" ht="48" hidden="false" customHeight="true" outlineLevel="0" collapsed="false">
      <c r="A23" s="35" t="s">
        <v>309</v>
      </c>
      <c r="B23" s="45" t="str">
        <f aca="false">VLOOKUP($A23,Questions!$A$2:$X$333,2,0)</f>
        <v>Does your solution have an AI risk model when developing or implementing your solution's AI model?*</v>
      </c>
      <c r="C23" s="46"/>
      <c r="D23" s="47"/>
      <c r="E23" s="48" t="str">
        <f aca="false">IF($C$18="No",'Auto Responses'!$A$6,IF($C23="Yes",VLOOKUP($A23,Questions!$A$2:$X$333,17,0)&amp;"",IF($C23="No",VLOOKUP($A23,Questions!$A$2:$X$333,16,0)&amp;"",VLOOKUP($A23,Questions!$A$2:$X$333,15,0)&amp;"")))</f>
        <v>Based on the response to REQU-04 on the "START HERE" tab, this question does not apply to this product or service.</v>
      </c>
      <c r="F23" s="49" t="str">
        <f aca="false">VLOOKUP($A23,'Institution Evaluation'!$A$56:$F$346,6,0)&amp;""</f>
        <v/>
      </c>
      <c r="I23" s="5"/>
      <c r="J23" s="5"/>
    </row>
    <row r="24" s="1" customFormat="true" ht="38.25" hidden="false" customHeight="true" outlineLevel="0" collapsed="false">
      <c r="A24" s="35" t="s">
        <v>310</v>
      </c>
      <c r="B24" s="45" t="str">
        <f aca="false">VLOOKUP($A24,Questions!$A$2:$X$333,2,0)</f>
        <v>Can your solution's AI features be disabled by tenant and/or user?*</v>
      </c>
      <c r="C24" s="46"/>
      <c r="D24" s="47"/>
      <c r="E24" s="48" t="str">
        <f aca="false">IF($C$18="No",'Auto Responses'!$A$6,IF($C24="Yes",VLOOKUP($A24,Questions!$A$2:$X$333,17,0)&amp;"",IF($C24="No",VLOOKUP($A24,Questions!$A$2:$X$333,16,0)&amp;"",VLOOKUP($A24,Questions!$A$2:$X$333,15,0)&amp;"")))</f>
        <v>Based on the response to REQU-04 on the "START HERE" tab, this question does not apply to this product or service.</v>
      </c>
      <c r="F24" s="49" t="str">
        <f aca="false">VLOOKUP($A24,'Institution Evaluation'!$A$56:$F$346,6,0)&amp;""</f>
        <v/>
      </c>
      <c r="I24" s="5"/>
      <c r="J24" s="5"/>
    </row>
    <row r="25" s="1" customFormat="true" ht="46.5" hidden="false" customHeight="true" outlineLevel="0" collapsed="false">
      <c r="A25" s="35" t="s">
        <v>311</v>
      </c>
      <c r="B25" s="45" t="str">
        <f aca="false">VLOOKUP($A25,Questions!$A$2:$X$333,2,0)</f>
        <v>Have your staff completed responsible AI training?*</v>
      </c>
      <c r="C25" s="46"/>
      <c r="D25" s="47"/>
      <c r="E25" s="48" t="str">
        <f aca="false">IF($C$18="No",'Auto Responses'!$A$6,IF($C25="Yes",VLOOKUP($A25,Questions!$A$2:$X$333,17,0)&amp;"",IF($C25="No",VLOOKUP($A25,Questions!$A$2:$X$333,16,0)&amp;"",VLOOKUP($A25,Questions!$A$2:$X$333,15,0)&amp;"")))</f>
        <v>Based on the response to REQU-04 on the "START HERE" tab, this question does not apply to this product or service.</v>
      </c>
      <c r="F25" s="49" t="str">
        <f aca="false">VLOOKUP($A25,'Institution Evaluation'!$A$56:$F$346,6,0)&amp;""</f>
        <v/>
      </c>
      <c r="I25" s="5"/>
      <c r="J25" s="5"/>
    </row>
    <row r="26" s="1" customFormat="true" ht="69" hidden="false" customHeight="true" outlineLevel="0" collapsed="false">
      <c r="A26" s="35" t="s">
        <v>312</v>
      </c>
      <c r="B26" s="45" t="str">
        <f aca="false">VLOOKUP($A26,Questions!$A$2:$X$333,2,0)</f>
        <v>Please describe the capabilities of your solution's AI features.</v>
      </c>
      <c r="C26" s="84"/>
      <c r="D26" s="47"/>
      <c r="E26" s="48" t="str">
        <f aca="false">IF($C$18="No",'Auto Responses'!$A$6,IF($C26="Yes",VLOOKUP($A26,Questions!$A$2:$X$333,17,0)&amp;"",IF($C26="No",VLOOKUP($A26,Questions!$A$2:$X$333,16,0)&amp;"",VLOOKUP($A26,Questions!$A$2:$X$333,15,0)&amp;"")))</f>
        <v>Based on the response to REQU-04 on the "START HERE" tab, this question does not apply to this product or service.</v>
      </c>
      <c r="F26" s="49" t="str">
        <f aca="false">VLOOKUP($A26,'Institution Evaluation'!$A$56:$F$346,6,0)&amp;""</f>
        <v/>
      </c>
      <c r="I26" s="5"/>
      <c r="J26" s="5"/>
    </row>
    <row r="27" s="1" customFormat="true" ht="74.25" hidden="false" customHeight="true" outlineLevel="0" collapsed="false">
      <c r="A27" s="35" t="s">
        <v>313</v>
      </c>
      <c r="B27" s="45" t="str">
        <f aca="false">VLOOKUP($A27,Questions!$A$2:$X$333,2,0)</f>
        <v>Does your solution support business rules to protect sensitive data from being ingested by the AI model?</v>
      </c>
      <c r="C27" s="46"/>
      <c r="D27" s="47"/>
      <c r="E27" s="48" t="str">
        <f aca="false">IF($C$18="No",'Auto Responses'!$A$6,IF($C27="Yes",VLOOKUP($A27,Questions!$A$2:$X$333,17,0)&amp;"",IF($C27="No",VLOOKUP($A27,Questions!$A$2:$X$333,16,0)&amp;"",VLOOKUP($A27,Questions!$A$2:$X$333,15,0)&amp;"")))</f>
        <v>Based on the response to REQU-04 on the "START HERE" tab, this question does not apply to this product or service.</v>
      </c>
      <c r="F27" s="49" t="str">
        <f aca="false">VLOOKUP($A27,'Institution Evaluation'!$A$56:$F$346,6,0)&amp;""</f>
        <v/>
      </c>
      <c r="G27" s="51" t="s">
        <v>37</v>
      </c>
      <c r="I27" s="5"/>
      <c r="J27" s="5"/>
    </row>
    <row r="28" s="1" customFormat="true" ht="36.75" hidden="false" customHeight="true" outlineLevel="0" collapsed="false">
      <c r="A28" s="31" t="str">
        <f aca="false">VLOOKUP(LEFT($A29,4),'Auto Responses'!$N$4:$O$38,2,0)&amp;""</f>
        <v> AI Policy</v>
      </c>
      <c r="B28" s="42"/>
      <c r="C28" s="19" t="s">
        <v>21</v>
      </c>
      <c r="D28" s="19" t="s">
        <v>22</v>
      </c>
      <c r="E28" s="43" t="s">
        <v>23</v>
      </c>
      <c r="F28" s="90" t="s">
        <v>24</v>
      </c>
      <c r="I28" s="5"/>
      <c r="J28" s="5"/>
    </row>
    <row r="29" s="1" customFormat="true" ht="69" hidden="false" customHeight="true" outlineLevel="0" collapsed="false">
      <c r="A29" s="35" t="s">
        <v>314</v>
      </c>
      <c r="B29" s="45" t="str">
        <f aca="false">VLOOKUP($A29,Questions!$A$2:$X$333,2,0)</f>
        <v>Are your AI developer's policies, processes, procedures, and practices across the organization related to the mapping, measuring, and managing of AI risks conspicuously posted, unambiguous, and implemented effectively?*</v>
      </c>
      <c r="C29" s="46"/>
      <c r="D29" s="47"/>
      <c r="E29" s="48" t="str">
        <f aca="false">IF($C$18="No",'Auto Responses'!$A$6,IF($C29="Yes",VLOOKUP($A29,Questions!$A$2:$X$333,17,0)&amp;"",IF($C29="No",VLOOKUP($A29,Questions!$A$2:$X$333,16,0)&amp;"",VLOOKUP($A29,Questions!$A$2:$X$333,15,0)&amp;"")))</f>
        <v>Based on the response to REQU-04 on the "START HERE" tab, this question does not apply to this product or service.</v>
      </c>
      <c r="F29" s="49" t="str">
        <f aca="false">VLOOKUP($A29,'Institution Evaluation'!$A$56:$F$346,6,0)&amp;""</f>
        <v/>
      </c>
      <c r="I29" s="5"/>
      <c r="J29" s="5"/>
    </row>
    <row r="30" s="1" customFormat="true" ht="61.5" hidden="false" customHeight="true" outlineLevel="0" collapsed="false">
      <c r="A30" s="35" t="s">
        <v>315</v>
      </c>
      <c r="B30" s="45" t="str">
        <f aca="false">VLOOKUP($A30,Questions!$A$2:$X$333,2,0)</f>
        <v>Have you identified and measured AI risks?*</v>
      </c>
      <c r="C30" s="46"/>
      <c r="D30" s="47"/>
      <c r="E30" s="48" t="str">
        <f aca="false">IF($C$18="No",'Auto Responses'!$A$6,IF($C30="Yes",VLOOKUP($A30,Questions!$A$2:$X$333,17,0)&amp;"",IF($C30="No",VLOOKUP($A30,Questions!$A$2:$X$333,16,0)&amp;"",VLOOKUP($A30,Questions!$A$2:$X$333,15,0)&amp;"")))</f>
        <v>Based on the response to REQU-04 on the "START HERE" tab, this question does not apply to this product or service.</v>
      </c>
      <c r="F30" s="49" t="str">
        <f aca="false">VLOOKUP($A30,'Institution Evaluation'!$A$56:$F$346,6,0)&amp;""</f>
        <v/>
      </c>
      <c r="I30" s="5"/>
      <c r="J30" s="5"/>
    </row>
    <row r="31" s="1" customFormat="true" ht="111" hidden="false" customHeight="true" outlineLevel="0" collapsed="false">
      <c r="A31" s="35" t="s">
        <v>316</v>
      </c>
      <c r="B31" s="45" t="str">
        <f aca="false">VLOOKUP($A31,Questions!$A$2:$X$333,2,0)</f>
        <v>In the event of an incident, can your solution's AI features be disabled in a timely manner?*</v>
      </c>
      <c r="C31" s="46"/>
      <c r="D31" s="47"/>
      <c r="E31" s="48" t="str">
        <f aca="false">IF($C$18="No",'Auto Responses'!$A$6,IF($C31="Yes",VLOOKUP($A31,Questions!$A$2:$X$333,17,0)&amp;"",IF($C31="No",VLOOKUP($A31,Questions!$A$2:$X$333,16,0)&amp;"",VLOOKUP($A31,Questions!$A$2:$X$333,15,0)&amp;"")))</f>
        <v>Based on the response to REQU-04 on the "START HERE" tab, this question does not apply to this product or service.</v>
      </c>
      <c r="F31" s="49" t="str">
        <f aca="false">VLOOKUP($A31,'Institution Evaluation'!$A$56:$F$346,6,0)&amp;""</f>
        <v/>
      </c>
      <c r="I31" s="5"/>
      <c r="J31" s="5"/>
    </row>
    <row r="32" s="1" customFormat="true" ht="99.75" hidden="false" customHeight="true" outlineLevel="0" collapsed="false">
      <c r="A32" s="35" t="s">
        <v>317</v>
      </c>
      <c r="B32" s="45" t="str">
        <f aca="false">VLOOKUP($A32,Questions!$A$2:$X$333,2,0)</f>
        <v>If disabled because of an incident, can your solution's AI features be re-enabled in a timely manner?*</v>
      </c>
      <c r="C32" s="46"/>
      <c r="D32" s="47"/>
      <c r="E32" s="48" t="str">
        <f aca="false">IF($C$18="No",'Auto Responses'!$A$6,IF($C$31="No",'Auto Responses'!$A$27,IF($C32="Yes",VLOOKUP($A32,Questions!$A$2:$X$333,17,0)&amp;"",IF($C32="No",VLOOKUP($A32,Questions!$A$2:$X$333,16,0)&amp;"",IF($C32="N/A",VLOOKUP($A32,Questions!$A$2:$X$333,18,0)&amp;"",VLOOKUP($A32,Questions!$A$2:$X$333,15,0)&amp;"")))))</f>
        <v>Based on the response to REQU-04 on the "START HERE" tab, this question does not apply to this product or service.</v>
      </c>
      <c r="F32" s="49" t="str">
        <f aca="false">VLOOKUP($A32,'Institution Evaluation'!$A$56:$F$346,6,0)&amp;""</f>
        <v/>
      </c>
      <c r="I32" s="5"/>
      <c r="J32" s="5"/>
    </row>
    <row r="33" s="1" customFormat="true" ht="105" hidden="false" customHeight="true" outlineLevel="0" collapsed="false">
      <c r="A33" s="35" t="s">
        <v>318</v>
      </c>
      <c r="B33" s="45" t="str">
        <f aca="false">VLOOKUP($A33,Questions!$A$2:$X$333,2,0)</f>
        <v>Do you have documented technical and procedural processes to address potential negative impacts of AI as described by the AI Risk Management Framework (RMF)?</v>
      </c>
      <c r="C33" s="46"/>
      <c r="D33" s="47"/>
      <c r="E33" s="48" t="str">
        <f aca="false">IF($C$18="No",'Auto Responses'!$A$6,IF($C33="Yes",VLOOKUP($A33,Questions!$A$2:$X$333,17,0)&amp;"",IF($C33="No",VLOOKUP($A33,Questions!$A$2:$X$333,16,0)&amp;"",VLOOKUP($A33,Questions!$A$2:$X$333,15,0)&amp;"")))</f>
        <v>Based on the response to REQU-04 on the "START HERE" tab, this question does not apply to this product or service.</v>
      </c>
      <c r="F33" s="49" t="str">
        <f aca="false">VLOOKUP($A33,'Institution Evaluation'!$A$56:$F$346,6,0)&amp;""</f>
        <v/>
      </c>
      <c r="G33" s="51" t="s">
        <v>37</v>
      </c>
      <c r="I33" s="5"/>
      <c r="J33" s="5"/>
    </row>
    <row r="34" s="1" customFormat="true" ht="36.75" hidden="false" customHeight="true" outlineLevel="0" collapsed="false">
      <c r="A34" s="31" t="str">
        <f aca="false">VLOOKUP(LEFT($A35,4),'Auto Responses'!$N$4:$O$38,2,0)&amp;""</f>
        <v> AI Data Security</v>
      </c>
      <c r="B34" s="42"/>
      <c r="C34" s="19" t="s">
        <v>21</v>
      </c>
      <c r="D34" s="19" t="s">
        <v>22</v>
      </c>
      <c r="E34" s="43" t="s">
        <v>23</v>
      </c>
      <c r="F34" s="90" t="s">
        <v>24</v>
      </c>
      <c r="I34" s="5"/>
      <c r="J34" s="5"/>
    </row>
    <row r="35" s="1" customFormat="true" ht="53.25" hidden="false" customHeight="true" outlineLevel="0" collapsed="false">
      <c r="A35" s="35" t="s">
        <v>319</v>
      </c>
      <c r="B35" s="45" t="str">
        <f aca="false">VLOOKUP($A35,Questions!$A$2:$X$333,2,0)</f>
        <v>If sensitive data is introduced to your solution's AI model, can the data be removed from the AI model by request?*</v>
      </c>
      <c r="C35" s="46"/>
      <c r="D35" s="47"/>
      <c r="E35" s="48" t="str">
        <f aca="false">IF($C$18="No",'Auto Responses'!$A$6,IF($C35="Yes",VLOOKUP($A35,Questions!$A$2:$X$333,17,0)&amp;"",IF($C35="No",VLOOKUP($A35,Questions!$A$2:$X$333,16,0)&amp;"",VLOOKUP($A35,Questions!$A$2:$X$333,15,0)&amp;"")))</f>
        <v>Based on the response to REQU-04 on the "START HERE" tab, this question does not apply to this product or service.</v>
      </c>
      <c r="F35" s="49" t="str">
        <f aca="false">VLOOKUP($A35,'Institution Evaluation'!$A$56:$F$346,6,0)&amp;""</f>
        <v/>
      </c>
      <c r="I35" s="5"/>
      <c r="J35" s="5"/>
    </row>
    <row r="36" s="1" customFormat="true" ht="54" hidden="false" customHeight="true" outlineLevel="0" collapsed="false">
      <c r="A36" s="35" t="s">
        <v>320</v>
      </c>
      <c r="B36" s="45" t="str">
        <f aca="false">VLOOKUP($A36,Questions!$A$2:$X$333,2,0)</f>
        <v>Is user input data used to influence your solution's AI model?*</v>
      </c>
      <c r="C36" s="46"/>
      <c r="D36" s="47"/>
      <c r="E36" s="48" t="str">
        <f aca="false">IF($C$18="No",'Auto Responses'!$A$6,IF($C36="Yes",VLOOKUP($A36,Questions!$A$2:$X$333,17,0)&amp;"",IF($C36="No",VLOOKUP($A36,Questions!$A$2:$X$333,16,0)&amp;"",VLOOKUP($A36,Questions!$A$2:$X$333,15,0)&amp;"")))</f>
        <v>Based on the response to REQU-04 on the "START HERE" tab, this question does not apply to this product or service.</v>
      </c>
      <c r="F36" s="49" t="str">
        <f aca="false">VLOOKUP($A36,'Institution Evaluation'!$A$56:$F$346,6,0)&amp;""</f>
        <v/>
      </c>
      <c r="I36" s="5"/>
      <c r="J36" s="5"/>
    </row>
    <row r="37" s="1" customFormat="true" ht="60" hidden="false" customHeight="true" outlineLevel="0" collapsed="false">
      <c r="A37" s="35" t="s">
        <v>321</v>
      </c>
      <c r="B37" s="45" t="str">
        <f aca="false">VLOOKUP($A37,Questions!$A$2:$X$333,2,0)</f>
        <v>Do you provide logging for your solution's AI feature(s) that includes user, date, and action taken?*</v>
      </c>
      <c r="C37" s="46"/>
      <c r="D37" s="47"/>
      <c r="E37" s="48" t="str">
        <f aca="false">IF($C$18="No",'Auto Responses'!$A$6,IF($C37="Yes",VLOOKUP($A37,Questions!$A$2:$X$333,17,0)&amp;"",IF($C37="No",VLOOKUP($A37,Questions!$A$2:$X$333,16,0)&amp;"",VLOOKUP($A37,Questions!$A$2:$X$333,15,0)&amp;"")))</f>
        <v>Based on the response to REQU-04 on the "START HERE" tab, this question does not apply to this product or service.</v>
      </c>
      <c r="F37" s="49" t="str">
        <f aca="false">VLOOKUP($A37,'Institution Evaluation'!$A$56:$F$346,6,0)&amp;""</f>
        <v/>
      </c>
      <c r="I37" s="5"/>
      <c r="J37" s="5"/>
    </row>
    <row r="38" s="1" customFormat="true" ht="60" hidden="false" customHeight="true" outlineLevel="0" collapsed="false">
      <c r="A38" s="35" t="s">
        <v>322</v>
      </c>
      <c r="B38" s="45" t="str">
        <f aca="false">VLOOKUP($A38,Questions!$A$2:$X$333,2,0)</f>
        <v>Please describe how you validate user inputs.</v>
      </c>
      <c r="C38" s="84"/>
      <c r="D38" s="47"/>
      <c r="E38" s="48" t="str">
        <f aca="false">IF($C$18="No",'Auto Responses'!$A$6,IF($C38="Yes",VLOOKUP($A38,Questions!$A$2:$X$333,17,0)&amp;"",IF($C38="No",VLOOKUP($A38,Questions!$A$2:$X$333,16,0)&amp;"",VLOOKUP($A38,Questions!$A$2:$X$333,15,0)&amp;"")))</f>
        <v>Based on the response to REQU-04 on the "START HERE" tab, this question does not apply to this product or service.</v>
      </c>
      <c r="F38" s="49" t="str">
        <f aca="false">VLOOKUP($A38,'Institution Evaluation'!$A$56:$F$346,6,0)&amp;""</f>
        <v/>
      </c>
      <c r="I38" s="5"/>
      <c r="J38" s="5"/>
    </row>
    <row r="39" s="1" customFormat="true" ht="49.5" hidden="false" customHeight="true" outlineLevel="0" collapsed="false">
      <c r="A39" s="35" t="s">
        <v>323</v>
      </c>
      <c r="B39" s="45" t="str">
        <f aca="false">VLOOKUP($A39,Questions!$A$2:$X$333,2,0)</f>
        <v>Do you plan for and mitigate supply-chain risk related to your AI features?</v>
      </c>
      <c r="C39" s="46"/>
      <c r="D39" s="47"/>
      <c r="E39" s="48" t="str">
        <f aca="false">IF($C$18="No",'Auto Responses'!$A$6,IF($C39="Yes",VLOOKUP($A39,Questions!$A$2:$X$333,17,0)&amp;"",IF($C39="No",VLOOKUP($A39,Questions!$A$2:$X$333,16,0)&amp;"",VLOOKUP($A39,Questions!$A$2:$X$333,15,0)&amp;"")))</f>
        <v>Based on the response to REQU-04 on the "START HERE" tab, this question does not apply to this product or service.</v>
      </c>
      <c r="F39" s="49" t="str">
        <f aca="false">VLOOKUP($A39,'Institution Evaluation'!$A$56:$F$346,6,0)&amp;""</f>
        <v/>
      </c>
      <c r="G39" s="51" t="s">
        <v>37</v>
      </c>
      <c r="I39" s="5"/>
      <c r="J39" s="5"/>
    </row>
    <row r="40" s="1" customFormat="true" ht="36.75" hidden="false" customHeight="true" outlineLevel="0" collapsed="false">
      <c r="A40" s="31" t="str">
        <f aca="false">VLOOKUP(LEFT($A41,4),'Auto Responses'!$N$4:$O$38,2,0)&amp;""</f>
        <v> AI Machine Learning</v>
      </c>
      <c r="B40" s="42"/>
      <c r="C40" s="19" t="s">
        <v>21</v>
      </c>
      <c r="D40" s="19" t="s">
        <v>22</v>
      </c>
      <c r="E40" s="43" t="s">
        <v>23</v>
      </c>
      <c r="F40" s="90" t="s">
        <v>24</v>
      </c>
      <c r="I40" s="5"/>
      <c r="J40" s="5"/>
    </row>
    <row r="41" s="1" customFormat="true" ht="97.5" hidden="false" customHeight="true" outlineLevel="0" collapsed="false">
      <c r="A41" s="35" t="s">
        <v>324</v>
      </c>
      <c r="B41" s="45" t="str">
        <f aca="false">VLOOKUP($A41,Questions!$A$2:$X$333,2,0)</f>
        <v>Do you separate ML training data from your ML solution data?*</v>
      </c>
      <c r="C41" s="46"/>
      <c r="D41" s="47"/>
      <c r="E41" s="48" t="str">
        <f aca="false">IF($C$18="No",'Auto Responses'!$A$6,IF($C$20="No",'Auto Responses'!$A$10,IF($C41="Yes",VLOOKUP($A41,Questions!$A$2:$X$333,17,0)&amp;"",IF($C41="No",VLOOKUP($A41,Questions!$A$2:$X$333,16,0)&amp;"",VLOOKUP($A41,Questions!$A$2:$X$333,15,0)&amp;""))))</f>
        <v>Based on the response to REQU-04 on the "START HERE" tab, this question does not apply to this product or service.</v>
      </c>
      <c r="F41" s="49" t="str">
        <f aca="false">VLOOKUP($A41,'Institution Evaluation'!$A$56:$F$346,6,0)&amp;""</f>
        <v/>
      </c>
      <c r="I41" s="5"/>
      <c r="J41" s="5"/>
    </row>
    <row r="42" s="1" customFormat="true" ht="74.25" hidden="false" customHeight="true" outlineLevel="0" collapsed="false">
      <c r="A42" s="35" t="s">
        <v>325</v>
      </c>
      <c r="B42" s="45" t="str">
        <f aca="false">VLOOKUP($A42,Questions!$A$2:$X$333,2,0)</f>
        <v>Do you authenticate and verify your ML model's feedback?*</v>
      </c>
      <c r="C42" s="46"/>
      <c r="D42" s="47"/>
      <c r="E42" s="48" t="str">
        <f aca="false">IF($C$18="No",'Auto Responses'!$A$6,IF($C$20="No",'Auto Responses'!$A$10,IF($C42="Yes",VLOOKUP($A42,Questions!$A$2:$X$333,17,0)&amp;"",IF($C42="No",VLOOKUP($A42,Questions!$A$2:$X$333,16,0)&amp;"",VLOOKUP($A42,Questions!$A$2:$X$333,15,0)&amp;""))))</f>
        <v>Based on the response to REQU-04 on the "START HERE" tab, this question does not apply to this product or service.</v>
      </c>
      <c r="F42" s="49" t="str">
        <f aca="false">VLOOKUP($A42,'Institution Evaluation'!$A$56:$F$346,6,0)&amp;""</f>
        <v/>
      </c>
      <c r="I42" s="5"/>
      <c r="J42" s="5"/>
    </row>
    <row r="43" s="1" customFormat="true" ht="110.25" hidden="false" customHeight="true" outlineLevel="0" collapsed="false">
      <c r="A43" s="35" t="s">
        <v>326</v>
      </c>
      <c r="B43" s="45" t="str">
        <f aca="false">VLOOKUP($A43,Questions!$A$2:$X$333,2,0)</f>
        <v>Is your ML training data vetted, validated, and verified before training the solution's AI model?</v>
      </c>
      <c r="C43" s="46"/>
      <c r="D43" s="47"/>
      <c r="E43" s="48" t="str">
        <f aca="false">IF($C$18="No",'Auto Responses'!$A$6,IF($C$20="No",'Auto Responses'!$A$10,IF($C43="Yes",VLOOKUP($A43,Questions!$A$2:$X$333,17,0)&amp;"",IF($C43="No",VLOOKUP($A43,Questions!$A$2:$X$333,16,0)&amp;"",VLOOKUP($A43,Questions!$A$2:$X$333,15,0)&amp;""))))</f>
        <v>Based on the response to REQU-04 on the "START HERE" tab, this question does not apply to this product or service.</v>
      </c>
      <c r="F43" s="49" t="str">
        <f aca="false">VLOOKUP($A43,'Institution Evaluation'!$A$56:$F$346,6,0)&amp;""</f>
        <v/>
      </c>
      <c r="I43" s="5"/>
      <c r="J43" s="5"/>
    </row>
    <row r="44" s="1" customFormat="true" ht="38.25" hidden="false" customHeight="true" outlineLevel="0" collapsed="false">
      <c r="A44" s="35" t="s">
        <v>327</v>
      </c>
      <c r="B44" s="45" t="str">
        <f aca="false">VLOOKUP($A44,Questions!$A$2:$X$333,2,0)</f>
        <v>Is your ML training data monitored and audited?</v>
      </c>
      <c r="C44" s="46"/>
      <c r="D44" s="47"/>
      <c r="E44" s="48" t="str">
        <f aca="false">IF($C$18="No",'Auto Responses'!$A$6,IF($C$20="No",'Auto Responses'!$A$10,IF($C44="Yes",VLOOKUP($A44,Questions!$A$2:$X$333,17,0)&amp;"",IF($C44="No",VLOOKUP($A44,Questions!$A$2:$X$333,16,0)&amp;"",VLOOKUP($A44,Questions!$A$2:$X$333,15,0)&amp;""))))</f>
        <v>Based on the response to REQU-04 on the "START HERE" tab, this question does not apply to this product or service.</v>
      </c>
      <c r="F44" s="49" t="str">
        <f aca="false">VLOOKUP($A44,'Institution Evaluation'!$A$56:$F$346,6,0)&amp;""</f>
        <v/>
      </c>
      <c r="I44" s="5"/>
      <c r="J44" s="5"/>
    </row>
    <row r="45" s="1" customFormat="true" ht="63" hidden="false" customHeight="true" outlineLevel="0" collapsed="false">
      <c r="A45" s="35" t="s">
        <v>328</v>
      </c>
      <c r="B45" s="45" t="str">
        <f aca="false">VLOOKUP($A45,Questions!$A$2:$X$333,2,0)</f>
        <v>Have you limited access to your ML training data to only staff with an explicit business need?</v>
      </c>
      <c r="C45" s="46"/>
      <c r="D45" s="47"/>
      <c r="E45" s="48" t="str">
        <f aca="false">IF($C$18="No",'Auto Responses'!$A$6,IF($C$20="No",'Auto Responses'!$A$10,IF($C45="Yes",VLOOKUP($A45,Questions!$A$2:$X$333,17,0)&amp;"",IF($C45="No",VLOOKUP($A45,Questions!$A$2:$X$333,16,0)&amp;"",VLOOKUP($A45,Questions!$A$2:$X$333,15,0)&amp;""))))</f>
        <v>Based on the response to REQU-04 on the "START HERE" tab, this question does not apply to this product or service.</v>
      </c>
      <c r="F45" s="49" t="str">
        <f aca="false">VLOOKUP($A45,'Institution Evaluation'!$A$56:$F$346,6,0)&amp;""</f>
        <v/>
      </c>
      <c r="I45" s="5"/>
      <c r="J45" s="5"/>
    </row>
    <row r="46" s="1" customFormat="true" ht="101.25" hidden="false" customHeight="true" outlineLevel="0" collapsed="false">
      <c r="A46" s="35" t="s">
        <v>329</v>
      </c>
      <c r="B46" s="45" t="str">
        <f aca="false">VLOOKUP($A46,Questions!$A$2:$X$333,2,0)</f>
        <v>Have you implemented adversarial training or other model defense mechanisms to protect your ML-related features?</v>
      </c>
      <c r="C46" s="46"/>
      <c r="D46" s="47"/>
      <c r="E46" s="48" t="str">
        <f aca="false">IF($C$18="No",'Auto Responses'!$A$6,IF($C$20="No",'Auto Responses'!$A$10,IF($C46="Yes",VLOOKUP($A46,Questions!$A$2:$X$333,17,0)&amp;"",IF($C46="No",VLOOKUP($A46,Questions!$A$2:$X$333,16,0)&amp;"",VLOOKUP($A46,Questions!$A$2:$X$333,15,0)&amp;""))))</f>
        <v>Based on the response to REQU-04 on the "START HERE" tab, this question does not apply to this product or service.</v>
      </c>
      <c r="F46" s="49" t="str">
        <f aca="false">VLOOKUP($A46,'Institution Evaluation'!$A$56:$F$346,6,0)&amp;""</f>
        <v/>
      </c>
      <c r="I46" s="5"/>
      <c r="J46" s="5"/>
    </row>
    <row r="47" s="1" customFormat="true" ht="102.75" hidden="false" customHeight="true" outlineLevel="0" collapsed="false">
      <c r="A47" s="35" t="s">
        <v>330</v>
      </c>
      <c r="B47" s="45" t="str">
        <f aca="false">VLOOKUP($A47,Questions!$A$2:$X$333,2,0)</f>
        <v>Do you make your ML model transparent through documentation and log inputs and outputs?</v>
      </c>
      <c r="C47" s="46"/>
      <c r="D47" s="47"/>
      <c r="E47" s="48" t="str">
        <f aca="false">IF($C$18="No",'Auto Responses'!$A$6,IF($C$20="No",'Auto Responses'!$A$10,IF($C47="Yes",VLOOKUP($A47,Questions!$A$2:$X$333,17,0)&amp;"",IF($C47="No",VLOOKUP($A47,Questions!$A$2:$X$333,16,0)&amp;"",VLOOKUP($A47,Questions!$A$2:$X$333,15,0)&amp;""))))</f>
        <v>Based on the response to REQU-04 on the "START HERE" tab, this question does not apply to this product or service.</v>
      </c>
      <c r="F47" s="49" t="str">
        <f aca="false">VLOOKUP($A47,'Institution Evaluation'!$A$56:$F$346,6,0)&amp;""</f>
        <v/>
      </c>
      <c r="I47" s="5"/>
      <c r="J47" s="5"/>
    </row>
    <row r="48" s="1" customFormat="true" ht="67.5" hidden="false" customHeight="true" outlineLevel="0" collapsed="false">
      <c r="A48" s="35" t="s">
        <v>331</v>
      </c>
      <c r="B48" s="45" t="str">
        <f aca="false">VLOOKUP($A48,Questions!$A$2:$X$333,2,0)</f>
        <v>Do you watermark your ML training data?</v>
      </c>
      <c r="C48" s="46"/>
      <c r="D48" s="47"/>
      <c r="E48" s="48" t="str">
        <f aca="false">IF($C$18="No",'Auto Responses'!$A$6,IF($C$20="No",'Auto Responses'!$A$10,IF($C48="Yes",VLOOKUP($A48,Questions!$A$2:$X$333,17,0)&amp;"",IF($C48="No",VLOOKUP($A48,Questions!$A$2:$X$333,16,0)&amp;"",VLOOKUP($A48,Questions!$A$2:$X$333,15,0)&amp;""))))</f>
        <v>Based on the response to REQU-04 on the "START HERE" tab, this question does not apply to this product or service.</v>
      </c>
      <c r="F48" s="49" t="str">
        <f aca="false">VLOOKUP($A48,'Institution Evaluation'!$A$56:$F$346,6,0)&amp;""</f>
        <v/>
      </c>
      <c r="G48" s="51" t="s">
        <v>37</v>
      </c>
      <c r="I48" s="5"/>
      <c r="J48" s="5"/>
    </row>
    <row r="49" s="1" customFormat="true" ht="36.75" hidden="false" customHeight="true" outlineLevel="0" collapsed="false">
      <c r="A49" s="31" t="str">
        <f aca="false">VLOOKUP(LEFT($A50,4),'Auto Responses'!$N$4:$O$38,2,0)&amp;""</f>
        <v> AI Large Language Model (LLM)</v>
      </c>
      <c r="B49" s="42"/>
      <c r="C49" s="19" t="s">
        <v>21</v>
      </c>
      <c r="D49" s="19" t="s">
        <v>22</v>
      </c>
      <c r="E49" s="43" t="s">
        <v>23</v>
      </c>
      <c r="F49" s="90" t="s">
        <v>24</v>
      </c>
      <c r="I49" s="5"/>
      <c r="J49" s="5"/>
    </row>
    <row r="50" s="1" customFormat="true" ht="60" hidden="false" customHeight="true" outlineLevel="0" collapsed="false">
      <c r="A50" s="35" t="s">
        <v>332</v>
      </c>
      <c r="B50" s="45" t="str">
        <f aca="false">VLOOKUP($A50,Questions!$A$2:$X$333,2,0)</f>
        <v>Do you limit your solution's LLM privileges by default?*</v>
      </c>
      <c r="C50" s="46"/>
      <c r="D50" s="47"/>
      <c r="E50" s="48" t="str">
        <f aca="false">IF($C$18="No",'Auto Responses'!$A$6,IF($C$21="No",'Auto Responses'!$A$11,IF($C50="Yes",VLOOKUP($A50,Questions!$A$2:$X$333,17,0)&amp;"",IF($C50="No",VLOOKUP($A50,Questions!$A$2:$X$333,16,0)&amp;"",VLOOKUP($A50,Questions!$A$2:$X$333,15,0)&amp;""))))</f>
        <v>Based on the response to REQU-04 on the "START HERE" tab, this question does not apply to this product or service.</v>
      </c>
      <c r="F50" s="49" t="str">
        <f aca="false">VLOOKUP($A50,'Institution Evaluation'!$A$56:$F$346,6,0)&amp;""</f>
        <v/>
      </c>
      <c r="I50" s="5"/>
      <c r="J50" s="5"/>
    </row>
    <row r="51" customFormat="false" ht="102.75" hidden="false" customHeight="true" outlineLevel="0" collapsed="false">
      <c r="A51" s="35" t="s">
        <v>333</v>
      </c>
      <c r="B51" s="45" t="str">
        <f aca="false">VLOOKUP($A51,Questions!$A$2:$X$333,2,0)</f>
        <v>Is your LLM training data vetted, validated, and verified before training the solution's AI model?*</v>
      </c>
      <c r="C51" s="46"/>
      <c r="D51" s="47"/>
      <c r="E51" s="48" t="str">
        <f aca="false">IF($C$18="No",'Auto Responses'!$A$6,IF($C$21="No",'Auto Responses'!$A$11,IF($C51="Yes",VLOOKUP($A51,Questions!$A$2:$X$333,17,0)&amp;"",IF($C51="No",VLOOKUP($A51,Questions!$A$2:$X$333,16,0)&amp;"",VLOOKUP($A51,Questions!$A$2:$X$333,15,0)&amp;""))))</f>
        <v>Based on the response to REQU-04 on the "START HERE" tab, this question does not apply to this product or service.</v>
      </c>
      <c r="F51" s="49" t="str">
        <f aca="false">VLOOKUP($A51,'Institution Evaluation'!$A$56:$F$346,6,0)&amp;""</f>
        <v/>
      </c>
    </row>
    <row r="52" customFormat="false" ht="75.75" hidden="false" customHeight="true" outlineLevel="0" collapsed="false">
      <c r="A52" s="35" t="s">
        <v>334</v>
      </c>
      <c r="B52" s="45" t="str">
        <f aca="false">VLOOKUP($A52,Questions!$A$2:$X$333,2,0)</f>
        <v>Do any actions taken by your solution's LLM features or plugins require human intervention?*</v>
      </c>
      <c r="C52" s="46"/>
      <c r="D52" s="47"/>
      <c r="E52" s="48" t="str">
        <f aca="false">IF($C$18="No",'Auto Responses'!$A$6,IF($C$21="No",'Auto Responses'!$A$11,IF($C52="Yes",VLOOKUP($A52,Questions!$A$2:$X$333,17,0)&amp;"",IF($C52="No",VLOOKUP($A52,Questions!$A$2:$X$333,16,0)&amp;"",VLOOKUP($A52,Questions!$A$2:$X$333,15,0)&amp;""))))</f>
        <v>Based on the response to REQU-04 on the "START HERE" tab, this question does not apply to this product or service.</v>
      </c>
      <c r="F52" s="49" t="str">
        <f aca="false">VLOOKUP($A52,'Institution Evaluation'!$A$56:$F$346,6,0)&amp;""</f>
        <v/>
      </c>
    </row>
    <row r="53" customFormat="false" ht="67.5" hidden="false" customHeight="true" outlineLevel="0" collapsed="false">
      <c r="A53" s="35" t="s">
        <v>335</v>
      </c>
      <c r="B53" s="45" t="str">
        <f aca="false">VLOOKUP($A53,Questions!$A$2:$X$333,2,0)</f>
        <v>Do you limit multiple LLM model plugins being called as part of a single input?*</v>
      </c>
      <c r="C53" s="46"/>
      <c r="D53" s="47"/>
      <c r="E53" s="48" t="str">
        <f aca="false">IF($C$18="No",'Auto Responses'!$A$6,IF($C$21="No",'Auto Responses'!$A$11,IF($C53="Yes",VLOOKUP($A53,Questions!$A$2:$X$333,17,0)&amp;"",IF($C53="No",VLOOKUP($A53,Questions!$A$2:$X$333,16,0)&amp;"",VLOOKUP($A53,Questions!$A$2:$X$333,15,0)&amp;""))))</f>
        <v>Based on the response to REQU-04 on the "START HERE" tab, this question does not apply to this product or service.</v>
      </c>
      <c r="F53" s="49" t="str">
        <f aca="false">VLOOKUP($A53,'Institution Evaluation'!$A$56:$F$346,6,0)&amp;""</f>
        <v/>
      </c>
    </row>
    <row r="54" customFormat="false" ht="49.5" hidden="false" customHeight="true" outlineLevel="0" collapsed="false">
      <c r="A54" s="35" t="s">
        <v>336</v>
      </c>
      <c r="B54" s="45" t="str">
        <f aca="false">VLOOKUP($A54,Questions!$A$2:$X$333,2,0)</f>
        <v>Do you limit your solution's LLM resource use per request, per step, and per action?</v>
      </c>
      <c r="C54" s="46"/>
      <c r="D54" s="47"/>
      <c r="E54" s="48" t="str">
        <f aca="false">IF($C$18="No",'Auto Responses'!$A$6,IF($C$21="No",'Auto Responses'!$A$11,IF($C54="Yes",VLOOKUP($A54,Questions!$A$2:$X$333,17,0)&amp;"",IF($C54="No",VLOOKUP($A54,Questions!$A$2:$X$333,16,0)&amp;"",VLOOKUP($A54,Questions!$A$2:$X$333,15,0)&amp;""))))</f>
        <v>Based on the response to REQU-04 on the "START HERE" tab, this question does not apply to this product or service.</v>
      </c>
      <c r="F54" s="49" t="str">
        <f aca="false">VLOOKUP($A54,'Institution Evaluation'!$A$56:$F$346,6,0)&amp;""</f>
        <v/>
      </c>
    </row>
    <row r="55" customFormat="false" ht="55.5" hidden="false" customHeight="true" outlineLevel="0" collapsed="false">
      <c r="A55" s="35" t="s">
        <v>337</v>
      </c>
      <c r="B55" s="45" t="str">
        <f aca="false">VLOOKUP($A55,Questions!$A$2:$X$333,2,0)</f>
        <v>Do you leverage LLM model tuning or other model validation mechanisms?</v>
      </c>
      <c r="C55" s="46"/>
      <c r="D55" s="47"/>
      <c r="E55" s="48" t="str">
        <f aca="false">IF($C$18="No",'Auto Responses'!$A$6,IF($C$21="No",'Auto Responses'!$A$11,IF($C55="Yes",VLOOKUP($A55,Questions!$A$2:$X$333,17,0)&amp;"",IF($C55="No",VLOOKUP($A55,Questions!$A$2:$X$333,16,0)&amp;"",VLOOKUP($A55,Questions!$A$2:$X$333,15,0)&amp;""))))</f>
        <v>Based on the response to REQU-04 on the "START HERE" tab, this question does not apply to this product or service.</v>
      </c>
      <c r="F55" s="49" t="str">
        <f aca="false">VLOOKUP($A55,'Institution Evaluation'!$A$56:$F$346,6,0)&amp;""</f>
        <v/>
      </c>
      <c r="G55" s="51" t="s">
        <v>37</v>
      </c>
    </row>
    <row r="56" customFormat="false" ht="33" hidden="false" customHeight="true" outlineLevel="0" collapsed="false">
      <c r="A56" s="61" t="s">
        <v>50</v>
      </c>
      <c r="E56" s="91" t="s">
        <v>338</v>
      </c>
      <c r="F56" s="1"/>
    </row>
    <row r="57" customFormat="false" ht="15" hidden="true" customHeight="true" outlineLevel="0" collapsed="false">
      <c r="A57" s="1"/>
      <c r="F57" s="1"/>
    </row>
    <row r="58" customFormat="false" ht="15" hidden="true" customHeight="true" outlineLevel="0" collapsed="false">
      <c r="A58" s="1"/>
      <c r="B58" s="2"/>
      <c r="C58" s="76"/>
      <c r="D58" s="4"/>
      <c r="E58" s="1"/>
      <c r="F58" s="1"/>
      <c r="H58" s="5"/>
      <c r="I58" s="1"/>
      <c r="J58" s="1"/>
    </row>
    <row r="59" customFormat="false" ht="16.4" hidden="true" customHeight="false" outlineLevel="0" collapsed="false">
      <c r="A59" s="35" t="e">
        <f aca="false">#REF!</f>
        <v>#REF!</v>
      </c>
    </row>
    <row r="60" customFormat="false" ht="16.4" hidden="true" customHeight="false" outlineLevel="0" collapsed="false">
      <c r="A60" s="35" t="e">
        <f aca="false">#REF!</f>
        <v>#REF!</v>
      </c>
    </row>
    <row r="61" customFormat="false" ht="16.4" hidden="true" customHeight="false" outlineLevel="0" collapsed="false">
      <c r="A61" s="35" t="e">
        <f aca="false">#REF!</f>
        <v>#REF!</v>
      </c>
    </row>
    <row r="62" customFormat="false" ht="16.4" hidden="true" customHeight="false" outlineLevel="0" collapsed="false">
      <c r="A62" s="35" t="e">
        <f aca="false">#REF!</f>
        <v>#REF!</v>
      </c>
    </row>
    <row r="63" customFormat="false" ht="16.4" hidden="true" customHeight="false" outlineLevel="0" collapsed="false">
      <c r="A63" s="35" t="e">
        <f aca="false">#REF!</f>
        <v>#REF!</v>
      </c>
    </row>
    <row r="64" customFormat="false" ht="16.4" hidden="true" customHeight="false" outlineLevel="0" collapsed="false">
      <c r="A64" s="35" t="e">
        <f aca="false">#REF!</f>
        <v>#REF!</v>
      </c>
    </row>
    <row r="65" customFormat="false" ht="16.4" hidden="true" customHeight="false" outlineLevel="0" collapsed="false">
      <c r="A65" s="35" t="e">
        <f aca="false">#REF!</f>
        <v>#REF!</v>
      </c>
    </row>
    <row r="1048576" customFormat="false" ht="3" hidden="false" customHeight="true" outlineLevel="0" collapsed="false"/>
  </sheetData>
  <dataValidations count="5">
    <dataValidation allowBlank="true" errorStyle="stop" operator="between" prompt="The HECVAT is built using a number of complex formulas. Editing this cell can break the functionality of the tool. " promptTitle="Warning!" showDropDown="false" showErrorMessage="true" showInputMessage="true" sqref="B2:F2 A3:B56 D3:F3 C5:F12 C17:F17 E18:F18 C19:F19 E20:F21 C22:F22 E23:F27 C28:F28 E29:F33 C34:F34 E35:F39 C40:F40 E41:F48 C49:F49 E50:F55" type="none">
      <formula1>0</formula1>
      <formula2>0</formula2>
    </dataValidation>
    <dataValidation allowBlank="true" errorStyle="stop" operator="between" prompt="This answer has been populated from the &quot;START HERE&quot; tab and does not need to be re-entered." showDropDown="false" showErrorMessage="true" showInputMessage="true" sqref="C3 C13:C16 C18" type="none">
      <formula1>0</formula1>
      <formula2>0</formula2>
    </dataValidation>
    <dataValidation allowBlank="true" errorStyle="stop" operator="between" prompt="This cell should be left blank. Input your answer in column C." showDropDown="false" showErrorMessage="true" showInputMessage="true" sqref="D26 D38" type="none">
      <formula1>0</formula1>
      <formula2>0</formula2>
    </dataValidation>
    <dataValidation allowBlank="true" errorStyle="stop" operator="between" showDropDown="false" showErrorMessage="true" showInputMessage="true" sqref="C20:C21 C23:C25 C27 C29:C31 C33 C36:C37 C39 C41:C48 C50:C55" type="list">
      <formula1>'Auto Responses'!$J$3:$J$4</formula1>
      <formula2>0</formula2>
    </dataValidation>
    <dataValidation allowBlank="true" errorStyle="stop" operator="between" showDropDown="false" showErrorMessage="true" showInputMessage="true" sqref="C32 C35" type="list">
      <formula1>'Auto Responses'!$J$3:$J$5</formula1>
      <formula2>0</formula2>
    </dataValidation>
  </dataValidations>
  <hyperlinks>
    <hyperlink ref="A11" r:id="rId1" display="http://www.educause.edu/HECVAT"/>
  </hyperlinks>
  <printOptions headings="false" gridLines="false" gridLinesSet="true" horizontalCentered="false" verticalCentered="false"/>
  <pageMargins left="0.75" right="0.75" top="1" bottom="1"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&amp;L&amp;"Arial,Regular"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636C"/>
    <pageSetUpPr fitToPage="false"/>
  </sheetPr>
  <dimension ref="A1:I117"/>
  <sheetViews>
    <sheetView showFormulas="false" showGridLines="false" showRowColHeaders="true" showZeros="false" rightToLeft="false" tabSelected="false" showOutlineSymbols="true" defaultGridColor="true" view="normal" topLeftCell="A86" colorId="64" zoomScale="95" zoomScaleNormal="95" zoomScalePageLayoutView="100" workbookViewId="0">
      <selection pane="topLeft" activeCell="D72" activeCellId="0" sqref="D72"/>
    </sheetView>
  </sheetViews>
  <sheetFormatPr defaultColWidth="6.6015625" defaultRowHeight="12.8" customHeight="true" zeroHeight="true" outlineLevelRow="0" outlineLevelCol="0"/>
  <cols>
    <col collapsed="false" customWidth="true" hidden="false" outlineLevel="0" max="1" min="1" style="0" width="8.3"/>
    <col collapsed="false" customWidth="true" hidden="false" outlineLevel="0" max="2" min="2" style="1" width="55.1"/>
    <col collapsed="false" customWidth="true" hidden="false" outlineLevel="0" max="3" min="3" style="2" width="18.9"/>
    <col collapsed="false" customWidth="true" hidden="false" outlineLevel="0" max="4" min="4" style="3" width="55.7"/>
    <col collapsed="false" customWidth="true" hidden="false" outlineLevel="0" max="5" min="5" style="92" width="32"/>
    <col collapsed="false" customWidth="true" hidden="false" outlineLevel="0" max="6" min="6" style="93" width="30.7"/>
    <col collapsed="false" customWidth="true" hidden="false" outlineLevel="0" max="7" min="7" style="1" width="18.1"/>
    <col collapsed="false" customWidth="true" hidden="true" outlineLevel="0" max="8" min="8" style="5" width="18.1"/>
    <col collapsed="false" customWidth="true" hidden="true" outlineLevel="0" max="10" min="9" style="1" width="18.1"/>
    <col collapsed="false" customWidth="false" hidden="true" outlineLevel="0" max="11" min="11" style="1" width="6.6"/>
    <col collapsed="false" customWidth="false" hidden="true" outlineLevel="0" max="16384" min="12" style="0" width="6.6"/>
  </cols>
  <sheetData>
    <row r="1" customFormat="false" ht="231.3" hidden="true" customHeight="false" outlineLevel="0" collapsed="false">
      <c r="A1" s="0" t="s">
        <v>0</v>
      </c>
    </row>
    <row r="2" customFormat="false" ht="36" hidden="false" customHeight="true" outlineLevel="0" collapsed="false">
      <c r="A2" s="7" t="s">
        <v>339</v>
      </c>
      <c r="B2" s="7"/>
      <c r="C2" s="8"/>
      <c r="D2" s="9"/>
      <c r="E2" s="10"/>
      <c r="F2" s="89" t="str">
        <f aca="false">'Auto Responses'!$A$36</f>
        <v>Version 4.1.2</v>
      </c>
    </row>
    <row r="3" s="1" customFormat="true" ht="28.5" hidden="false" customHeight="true" outlineLevel="0" collapsed="false">
      <c r="A3" s="11" t="s">
        <v>2</v>
      </c>
      <c r="B3" s="94"/>
      <c r="C3" s="62" t="n">
        <f aca="false">'START HERE'!$C$3</f>
        <v>0</v>
      </c>
      <c r="D3" s="14"/>
      <c r="E3" s="15"/>
      <c r="F3" s="16"/>
      <c r="H3" s="5"/>
    </row>
    <row r="4" s="1" customFormat="true" ht="36" hidden="false" customHeight="true" outlineLevel="0" collapsed="false">
      <c r="A4" s="17" t="s">
        <v>3</v>
      </c>
      <c r="B4" s="18"/>
      <c r="C4" s="19"/>
      <c r="D4" s="20"/>
      <c r="E4" s="21"/>
      <c r="F4" s="21"/>
      <c r="H4" s="5"/>
    </row>
    <row r="5" s="1" customFormat="true" ht="19.5" hidden="false" customHeight="true" outlineLevel="0" collapsed="false">
      <c r="A5" s="22" t="str">
        <f aca="false">HLOOKUP($A$4,'Auto Responses'!$D$2:$D$8,2,0)&amp;""</f>
        <v>1. Complete the "Start Here" tab and review the "Required Questions" guidance to find the other sections are required for your product or service.</v>
      </c>
      <c r="B5" s="23"/>
      <c r="C5" s="24"/>
      <c r="D5" s="25"/>
      <c r="E5" s="23"/>
      <c r="F5" s="26"/>
      <c r="I5" s="5"/>
    </row>
    <row r="6" s="1" customFormat="true" ht="19.5" hidden="false" customHeight="true" outlineLevel="0" collapsed="false">
      <c r="A6" s="22" t="str">
        <f aca="false">HLOOKUP($A$4,'Auto Responses'!$D$2:$D$8,3,0)&amp;""</f>
        <v>2. Complete the "Organization" tab and the applicable questions in each of the next 5 tabs (Product through Privacy) that apply, based on your answers to the "Required Questions."</v>
      </c>
      <c r="B6" s="23"/>
      <c r="C6" s="24"/>
      <c r="D6" s="25"/>
      <c r="E6" s="23"/>
      <c r="F6" s="27"/>
      <c r="I6" s="5"/>
    </row>
    <row r="7" s="1" customFormat="true" ht="19.5" hidden="false" customHeight="true" outlineLevel="0" collapsed="false">
      <c r="A7" s="22" t="str">
        <f aca="false">HLOOKUP($A$4,'Auto Responses'!$D$2:$D$8,4,0)&amp;""</f>
        <v>3. Guidance in column E may change based on your answers to prompt details in "Additional Information." If leaving an answer blank, you must also state why in "Additional Information". </v>
      </c>
      <c r="B7" s="23"/>
      <c r="C7" s="24"/>
      <c r="D7" s="25"/>
      <c r="E7" s="23"/>
      <c r="F7" s="27"/>
      <c r="I7" s="5"/>
    </row>
    <row r="8" s="1" customFormat="true" ht="19.5" hidden="false" customHeight="true" outlineLevel="0" collapsed="false">
      <c r="A8" s="22" t="str">
        <f aca="false">HLOOKUP($A$4,'Auto Responses'!$D$2:$D$8,5,0)&amp;""</f>
        <v>4. DO NOT complete any fields in the "Evaluation" sheets or the "Analyst Notes" column.</v>
      </c>
      <c r="B8" s="23"/>
      <c r="C8" s="24"/>
      <c r="D8" s="25"/>
      <c r="E8" s="23"/>
      <c r="F8" s="27"/>
      <c r="I8" s="5"/>
    </row>
    <row r="9" s="1" customFormat="true" ht="19.5" hidden="false" customHeight="true" outlineLevel="0" collapsed="false">
      <c r="A9" s="22" t="str">
        <f aca="false">HLOOKUP($A$4,'Auto Responses'!$D$2:$D$8,6,0)&amp;""</f>
        <v>5. Return the completed file to institutions.</v>
      </c>
      <c r="B9" s="23"/>
      <c r="C9" s="24"/>
      <c r="D9" s="25"/>
      <c r="E9" s="23"/>
      <c r="F9" s="27"/>
      <c r="I9" s="5"/>
    </row>
    <row r="10" s="1" customFormat="true" ht="19.5" hidden="false" customHeight="true" outlineLevel="0" collapsed="false">
      <c r="A10" s="28" t="str">
        <f aca="false">HLOOKUP($A$4,'Auto Responses'!$D$2:$D$8,7,0)&amp;""</f>
        <v>* Denotes critical questions. Critical questions are those deemed most important to institutions by higher education volunteers.</v>
      </c>
      <c r="B10" s="23"/>
      <c r="C10" s="24"/>
      <c r="D10" s="25"/>
      <c r="E10" s="23"/>
      <c r="F10" s="27"/>
      <c r="I10" s="5"/>
    </row>
    <row r="11" s="1" customFormat="true" ht="19.5" hidden="false" customHeight="true" outlineLevel="0" collapsed="false">
      <c r="A11" s="29" t="str">
        <f aca="false">HLOOKUP($A$4,'Auto Responses'!$D$2:$D$9,8,0)&amp;""</f>
        <v>For full instructions, please visit educause.edu/HECVAT</v>
      </c>
      <c r="B11" s="23"/>
      <c r="C11" s="24"/>
      <c r="D11" s="25"/>
      <c r="E11" s="23"/>
      <c r="F11" s="30"/>
      <c r="I11" s="5"/>
    </row>
    <row r="12" s="1" customFormat="true" ht="36" hidden="false" customHeight="true" outlineLevel="0" collapsed="false">
      <c r="A12" s="31" t="str">
        <f aca="false">VLOOKUP(LEFT($A13,4),'Auto Responses'!$N$4:$O$38,2,0)&amp;""</f>
        <v> General Information</v>
      </c>
      <c r="B12" s="18"/>
      <c r="C12" s="19" t="s">
        <v>21</v>
      </c>
      <c r="D12" s="95"/>
      <c r="E12" s="96"/>
      <c r="F12" s="96"/>
      <c r="H12" s="5"/>
    </row>
    <row r="13" s="1" customFormat="true" ht="21.75" hidden="false" customHeight="true" outlineLevel="0" collapsed="false">
      <c r="A13" s="35" t="s">
        <v>4</v>
      </c>
      <c r="B13" s="97" t="str">
        <f aca="false">VLOOKUP($A13,Questions!$A$2:$X$333,2,0)&amp;""</f>
        <v>Solution Provider Name</v>
      </c>
      <c r="C13" s="37" t="str">
        <f aca="false">VLOOKUP($A13,'START HERE'!$A$13:$C$21,3,0)&amp;""</f>
        <v>QGIS.org</v>
      </c>
      <c r="D13" s="14"/>
      <c r="E13" s="15"/>
      <c r="F13" s="16"/>
      <c r="H13" s="5"/>
    </row>
    <row r="14" s="1" customFormat="true" ht="21.75" hidden="false" customHeight="true" outlineLevel="0" collapsed="false">
      <c r="A14" s="35" t="s">
        <v>6</v>
      </c>
      <c r="B14" s="97" t="str">
        <f aca="false">VLOOKUP($A14,Questions!$A$2:$X$333,2,0)&amp;""</f>
        <v>Solution Name</v>
      </c>
      <c r="C14" s="37" t="str">
        <f aca="false">VLOOKUP($A14,'START HERE'!$A$13:$C$21,3,0)&amp;""</f>
        <v>QGIS.org</v>
      </c>
      <c r="D14" s="14"/>
      <c r="E14" s="15"/>
      <c r="F14" s="16"/>
      <c r="H14" s="5"/>
    </row>
    <row r="15" s="1" customFormat="true" ht="21.75" hidden="false" customHeight="true" outlineLevel="0" collapsed="false">
      <c r="A15" s="35" t="s">
        <v>7</v>
      </c>
      <c r="B15" s="97" t="str">
        <f aca="false">VLOOKUP($A15,Questions!$A$2:$X$333,2,0)&amp;""</f>
        <v>Solution Description</v>
      </c>
      <c r="C15" s="37" t="str">
        <f aca="false">VLOOKUP($A15,'START HERE'!$A$13:$C$21,3,0)&amp;""</f>
        <v>QGIS is a free and open source Geographic information system, running on Windows, MacOS, Linux and with solution for mobile OS.</v>
      </c>
      <c r="D15" s="14"/>
      <c r="E15" s="15"/>
      <c r="F15" s="16"/>
      <c r="H15" s="5"/>
    </row>
    <row r="16" s="1" customFormat="true" ht="21.75" hidden="false" customHeight="true" outlineLevel="0" collapsed="false">
      <c r="A16" s="35" t="s">
        <v>17</v>
      </c>
      <c r="B16" s="97" t="str">
        <f aca="false">VLOOKUP($A16,Questions!$A$2:$X$333,2,0)&amp;""</f>
        <v>Country of Company Headquarters</v>
      </c>
      <c r="C16" s="37" t="str">
        <f aca="false">VLOOKUP($A16,'START HERE'!$A$13:$C$21,3,0)&amp;""</f>
        <v>Switzerland</v>
      </c>
      <c r="D16" s="14"/>
      <c r="E16" s="15"/>
      <c r="F16" s="16"/>
      <c r="H16" s="5"/>
    </row>
    <row r="17" s="1" customFormat="true" ht="21.75" hidden="false" customHeight="true" outlineLevel="0" collapsed="false">
      <c r="A17" s="35" t="s">
        <v>19</v>
      </c>
      <c r="B17" s="97" t="str">
        <f aca="false">VLOOKUP($A17,Questions!$A$2:$X$333,2,0)&amp;""</f>
        <v>Employee Work Locations (all)</v>
      </c>
      <c r="C17" s="37" t="str">
        <f aca="false">VLOOKUP($A17,'START HERE'!$A$13:$C$21,3,0)&amp;""</f>
        <v>Worldwide </v>
      </c>
      <c r="D17" s="14"/>
      <c r="E17" s="15"/>
      <c r="F17" s="16"/>
      <c r="H17" s="5"/>
    </row>
    <row r="18" s="1" customFormat="true" ht="36.75" hidden="false" customHeight="true" outlineLevel="0" collapsed="false">
      <c r="A18" s="31" t="str">
        <f aca="false">VLOOKUP(LEFT($A19,4),'Auto Responses'!$N$4:$O$38,2,0)&amp;""</f>
        <v> Required Questions</v>
      </c>
      <c r="B18" s="42"/>
      <c r="C18" s="19" t="s">
        <v>21</v>
      </c>
      <c r="D18" s="19" t="s">
        <v>22</v>
      </c>
      <c r="E18" s="43" t="s">
        <v>23</v>
      </c>
      <c r="F18" s="98" t="s">
        <v>24</v>
      </c>
      <c r="H18" s="5"/>
    </row>
    <row r="19" s="1" customFormat="true" ht="38.25" hidden="false" customHeight="true" outlineLevel="0" collapsed="false">
      <c r="A19" s="35" t="s">
        <v>44</v>
      </c>
      <c r="B19" s="45" t="str">
        <f aca="false">VLOOKUP($A19,Questions!$A$2:$X$333,2,0)</f>
        <v>Does your solution have AI features, or are there plans to implement AI features in the next 12 months?</v>
      </c>
      <c r="C19" s="74" t="str">
        <f aca="false">VLOOKUP($A19,'START HERE'!$A$23:$F$36,3,0)&amp;""</f>
        <v>No</v>
      </c>
      <c r="D19" s="75" t="str">
        <f aca="false">VLOOKUP($A19,'START HERE'!$A$23:$F$36,4,0)&amp;""</f>
        <v/>
      </c>
      <c r="E19" s="99" t="str">
        <f aca="false">IF($C19="Yes",VLOOKUP($A19,Questions!$A$2:$X$333,17,0)&amp;"",IF($C19="No",VLOOKUP($A19,Questions!$A$2:$X$333,16,0)&amp;"",VLOOKUP($A19,Questions!$A$2:$X$333,15,0)&amp;""))</f>
        <v>DO NOT complete the Artificial Intelligence (AI) worksheet</v>
      </c>
      <c r="F19" s="100" t="str">
        <f aca="false">VLOOKUP($A19,'START HERE'!$A$23:$F$36,6,0)&amp;""</f>
        <v/>
      </c>
      <c r="H19" s="5"/>
    </row>
    <row r="20" s="1" customFormat="true" ht="50.25" hidden="false" customHeight="true" outlineLevel="0" collapsed="false">
      <c r="A20" s="35" t="s">
        <v>45</v>
      </c>
      <c r="B20" s="45" t="str">
        <f aca="false">VLOOKUP($A20,Questions!$A$2:$X$333,2,0)</f>
        <v>Does your solution process protected health information (PHI) or any data covered by the Health Insurance Portability and Accountability Act (HIPAA)?</v>
      </c>
      <c r="C20" s="74" t="str">
        <f aca="false">VLOOKUP($A20,'START HERE'!$A$23:$F$36,3,0)&amp;""</f>
        <v>No</v>
      </c>
      <c r="D20" s="75" t="str">
        <f aca="false">VLOOKUP($A20,'START HERE'!$A$23:$F$36,4,0)&amp;""</f>
        <v/>
      </c>
      <c r="E20" s="99" t="str">
        <f aca="false">IF($C20="Yes",VLOOKUP($A20,Questions!$A$2:$X$333,17,0)&amp;"",IF($C20="No",VLOOKUP($A20,Questions!$A$2:$X$333,16,0)&amp;"",VLOOKUP($A20,Questions!$A$2:$X$333,15,0)&amp;""))</f>
        <v>DO NOT complete the HIPAA section in the Case-Specific worksheet</v>
      </c>
      <c r="F20" s="100" t="str">
        <f aca="false">VLOOKUP($A20,'START HERE'!$A$23:$F$36,6,0)&amp;""</f>
        <v/>
      </c>
      <c r="H20" s="5"/>
    </row>
    <row r="21" s="1" customFormat="true" ht="56.25" hidden="false" customHeight="true" outlineLevel="0" collapsed="false">
      <c r="A21" s="35" t="s">
        <v>46</v>
      </c>
      <c r="B21" s="45" t="str">
        <f aca="false">VLOOKUP($A21,Questions!$A$2:$X$333,2,0)</f>
        <v>Is the solution designed to process, store, or transmit credit card information?</v>
      </c>
      <c r="C21" s="74" t="str">
        <f aca="false">VLOOKUP($A21,'START HERE'!$A$23:$F$36,3,0)&amp;""</f>
        <v>No</v>
      </c>
      <c r="D21" s="75" t="str">
        <f aca="false">VLOOKUP($A21,'START HERE'!$A$23:$F$36,4,0)&amp;""</f>
        <v/>
      </c>
      <c r="E21" s="99" t="str">
        <f aca="false">IF($C21="Yes",VLOOKUP($A21,Questions!$A$2:$X$333,17,0)&amp;"",IF($C21="No",VLOOKUP($A21,Questions!$A$2:$X$333,16,0)&amp;"",VLOOKUP($A21,Questions!$A$2:$X$333,15,0)&amp;""))</f>
        <v>DO NOT complete the PCI-DSS section in the Case-Specific worksheet</v>
      </c>
      <c r="F21" s="100" t="str">
        <f aca="false">VLOOKUP($A21,'START HERE'!$A$23:$F$36,6,0)&amp;""</f>
        <v/>
      </c>
      <c r="H21" s="5"/>
    </row>
    <row r="22" s="1" customFormat="true" ht="56.25" hidden="false" customHeight="true" outlineLevel="0" collapsed="false">
      <c r="A22" s="35" t="s">
        <v>48</v>
      </c>
      <c r="B22" s="45" t="str">
        <f aca="false">VLOOKUP($A22,Questions!$A$2:$X$333,2,0)</f>
        <v>Does your solution have access to personal or institutional data?</v>
      </c>
      <c r="C22" s="74" t="str">
        <f aca="false">VLOOKUP($A22,'START HERE'!$A$23:$F$36,3,0)&amp;""</f>
        <v>No</v>
      </c>
      <c r="D22" s="75" t="str">
        <f aca="false">VLOOKUP($A22,'START HERE'!$A$23:$F$36,4,0)&amp;""</f>
        <v/>
      </c>
      <c r="E22" s="99" t="str">
        <f aca="false">IF($C22="Yes",VLOOKUP($A22,Questions!$A$2:$X$333,17,0)&amp;"",IF($C22="No",VLOOKUP($A22,Questions!$A$2:$X$333,16,0)&amp;"",VLOOKUP($A22,Questions!$A$2:$X$333,15,0)&amp;""))</f>
        <v>DO NOT complete the Privacy tab</v>
      </c>
      <c r="F22" s="100" t="str">
        <f aca="false">VLOOKUP($A22,'START HERE'!$A$23:$F$36,6,0)&amp;""</f>
        <v/>
      </c>
      <c r="G22" s="51" t="s">
        <v>37</v>
      </c>
      <c r="H22" s="5"/>
    </row>
    <row r="23" s="1" customFormat="true" ht="36.75" hidden="false" customHeight="true" outlineLevel="0" collapsed="false">
      <c r="A23" s="31" t="str">
        <f aca="false">VLOOKUP(LEFT($A24,4),'Auto Responses'!$N$4:$O$38,2,0)&amp;""</f>
        <v> General Privacy</v>
      </c>
      <c r="B23" s="42"/>
      <c r="C23" s="19" t="s">
        <v>21</v>
      </c>
      <c r="D23" s="19" t="s">
        <v>22</v>
      </c>
      <c r="E23" s="43" t="s">
        <v>23</v>
      </c>
      <c r="F23" s="90" t="s">
        <v>24</v>
      </c>
      <c r="H23" s="5"/>
    </row>
    <row r="24" s="1" customFormat="true" ht="29.25" hidden="false" customHeight="true" outlineLevel="0" collapsed="false">
      <c r="A24" s="35" t="s">
        <v>340</v>
      </c>
      <c r="B24" s="45" t="str">
        <f aca="false">VLOOKUP($A24,Questions!$A$2:$X$333,2,0)</f>
        <v>Does your solution process FERPA-related data?</v>
      </c>
      <c r="C24" s="46" t="s">
        <v>26</v>
      </c>
      <c r="D24" s="87"/>
      <c r="E24" s="99" t="str">
        <f aca="false">IF($C24="Yes",VLOOKUP($A24,Questions!$A$2:$X$333,17,0)&amp;"",IF($C24="No",VLOOKUP($A24,Questions!$A$2:$X$333,16,0)&amp;"",VLOOKUP($A24,Questions!$A$2:$X$333,15,0)&amp;""))</f>
        <v>FERPA-related data includes any data maintained by (or on behalf of) the institution that is directly related to an identifiable student.</v>
      </c>
      <c r="F24" s="100" t="str">
        <f aca="false">VLOOKUP($A24,'Privacy Analyst Evaluation'!$A$46:$F$120,6,0)&amp;""</f>
        <v/>
      </c>
      <c r="H24" s="5"/>
    </row>
    <row r="25" s="1" customFormat="true" ht="27" hidden="false" customHeight="true" outlineLevel="0" collapsed="false">
      <c r="A25" s="35" t="s">
        <v>341</v>
      </c>
      <c r="B25" s="45" t="str">
        <f aca="false">VLOOKUP($A25,Questions!$A$2:$X$333,2,0)</f>
        <v>Does your solution process GDPR-related or PIPL-related data?</v>
      </c>
      <c r="C25" s="46" t="s">
        <v>26</v>
      </c>
      <c r="D25" s="87" t="s">
        <v>342</v>
      </c>
      <c r="E25" s="99" t="str">
        <f aca="false">IF($C25="Yes",VLOOKUP($A25,Questions!$A$2:$X$333,17,0)&amp;"",IF($C25="No",VLOOKUP($A25,Questions!$A$2:$X$333,16,0)&amp;"",VLOOKUP($A25,Questions!$A$2:$X$333,15,0)&amp;""))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25" s="100" t="str">
        <f aca="false">VLOOKUP($A25,'Privacy Analyst Evaluation'!$A$46:$F$120,6,0)&amp;""</f>
        <v/>
      </c>
      <c r="H25" s="5"/>
    </row>
    <row r="26" s="1" customFormat="true" ht="35.25" hidden="false" customHeight="true" outlineLevel="0" collapsed="false">
      <c r="A26" s="35" t="s">
        <v>343</v>
      </c>
      <c r="B26" s="45" t="str">
        <f aca="false">VLOOKUP($A26,Questions!$A$2:$X$333,2,0)</f>
        <v>Does your solution process personal data regulated by state law(s) (e.g., CCPA)?</v>
      </c>
      <c r="C26" s="46" t="s">
        <v>26</v>
      </c>
      <c r="D26" s="87"/>
      <c r="E26" s="99" t="str">
        <f aca="false">IF($C26="Yes",VLOOKUP($A26,Questions!$A$2:$X$333,17,0)&amp;"",IF($C26="No",VLOOKUP($A26,Questions!$A$2:$X$333,16,0)&amp;"",VLOOKUP($A26,Questions!$A$2:$X$333,15,0)&amp;""))</f>
        <v/>
      </c>
      <c r="F26" s="100" t="str">
        <f aca="false">VLOOKUP($A26,'Privacy Analyst Evaluation'!$A$46:$F$120,6,0)&amp;""</f>
        <v/>
      </c>
      <c r="H26" s="5"/>
    </row>
    <row r="27" s="1" customFormat="true" ht="39" hidden="false" customHeight="true" outlineLevel="0" collapsed="false">
      <c r="A27" s="35" t="s">
        <v>344</v>
      </c>
      <c r="B27" s="45" t="str">
        <f aca="false">VLOOKUP($A27,Questions!$A$2:$X$333,2,0)</f>
        <v>Does your solution process user-provided data that may contain regulated information?</v>
      </c>
      <c r="C27" s="46" t="s">
        <v>232</v>
      </c>
      <c r="D27" s="87" t="s">
        <v>345</v>
      </c>
      <c r="E27" s="99" t="str">
        <f aca="false">IF($C27="Yes",VLOOKUP($A27,Questions!$A$2:$X$333,17,0)&amp;"",IF($C27="No",VLOOKUP($A27,Questions!$A$2:$X$333,16,0)&amp;"",VLOOKUP($A27,Questions!$A$2:$X$333,15,0)&amp;""))</f>
        <v/>
      </c>
      <c r="F27" s="100" t="str">
        <f aca="false">VLOOKUP($A27,'Privacy Analyst Evaluation'!$A$46:$F$120,6,0)&amp;""</f>
        <v/>
      </c>
      <c r="H27" s="5"/>
    </row>
    <row r="28" s="1" customFormat="true" ht="27.75" hidden="false" customHeight="true" outlineLevel="0" collapsed="false">
      <c r="A28" s="35" t="s">
        <v>346</v>
      </c>
      <c r="B28" s="45" t="str">
        <f aca="false">VLOOKUP($A28,Questions!$A$2:$X$333,2,0)</f>
        <v>Web Link to Product/Service Privacy Notice</v>
      </c>
      <c r="C28" s="37" t="s">
        <v>16</v>
      </c>
      <c r="D28" s="70"/>
      <c r="E28" s="99" t="str">
        <f aca="false">IF($C28="Yes",VLOOKUP($A28,Questions!$A$2:$X$333,17,0)&amp;"",IF($C28="No",VLOOKUP($A28,Questions!$A$2:$X$333,16,0)&amp;"",VLOOKUP($A28,Questions!$A$2:$X$333,15,0)&amp;""))</f>
        <v>If multiple notices are implicated, provide all that apply. If any other documents are incorporated by reference, provide them as well.</v>
      </c>
      <c r="F28" s="100" t="str">
        <f aca="false">VLOOKUP($A28,'Privacy Analyst Evaluation'!$A$46:$F$120,6,0)&amp;""</f>
        <v/>
      </c>
      <c r="G28" s="51" t="s">
        <v>37</v>
      </c>
      <c r="H28" s="5"/>
    </row>
    <row r="29" s="1" customFormat="true" ht="36.75" hidden="false" customHeight="true" outlineLevel="0" collapsed="false">
      <c r="A29" s="31" t="str">
        <f aca="false">VLOOKUP(LEFT($A30,4),'Auto Responses'!$N$4:$O$38,2,0)&amp;""</f>
        <v> Privacy-Specific Company Details</v>
      </c>
      <c r="B29" s="42"/>
      <c r="C29" s="19" t="s">
        <v>21</v>
      </c>
      <c r="D29" s="19" t="s">
        <v>22</v>
      </c>
      <c r="E29" s="43" t="s">
        <v>23</v>
      </c>
      <c r="F29" s="90" t="s">
        <v>24</v>
      </c>
      <c r="H29" s="5"/>
    </row>
    <row r="30" s="1" customFormat="true" ht="78" hidden="false" customHeight="true" outlineLevel="0" collapsed="false">
      <c r="A30" s="35" t="s">
        <v>347</v>
      </c>
      <c r="B30" s="45" t="str">
        <f aca="false">VLOOKUP($A30,Questions!$A$2:$X$333,2,0)</f>
        <v>Have you had a personal data breach in the past three years that involved reporting to a governmental agency, notice to individuals (including voluntary notice), or notice to another organization or institution?*</v>
      </c>
      <c r="C30" s="46" t="s">
        <v>232</v>
      </c>
      <c r="D30" s="87"/>
      <c r="E30" s="99" t="str">
        <f aca="false">IF($C30="Yes",VLOOKUP($A30,Questions!$A$2:$X$333,17,0)&amp;"",IF($C30="No",VLOOKUP($A30,Questions!$A$2:$X$333,16,0)&amp;"",VLOOKUP($A30,Questions!$A$2:$X$333,15,0)&amp;""))</f>
        <v/>
      </c>
      <c r="F30" s="100" t="str">
        <f aca="false">VLOOKUP($A30,'Privacy Analyst Evaluation'!$A$46:$F$120,6,0)&amp;""</f>
        <v/>
      </c>
      <c r="H30" s="5"/>
    </row>
    <row r="31" s="1" customFormat="true" ht="60.75" hidden="false" customHeight="true" outlineLevel="0" collapsed="false">
      <c r="A31" s="35" t="s">
        <v>348</v>
      </c>
      <c r="B31" s="45" t="str">
        <f aca="false">VLOOKUP($A31,Questions!$A$2:$X$333,2,0)</f>
        <v>Use this area to share information about your privacy practices that will assist those who are assessing your company data privacy program.*</v>
      </c>
      <c r="C31" s="37" t="s">
        <v>349</v>
      </c>
      <c r="D31" s="70"/>
      <c r="E31" s="99" t="str">
        <f aca="false">IF($C31="Yes",VLOOKUP($A31,Questions!$A$2:$X$333,17,0)&amp;"",IF($C31="No",VLOOKUP($A31,Questions!$A$2:$X$333,16,0)&amp;"",VLOOKUP($A31,Questions!$A$2:$X$333,15,0)&amp;""))</f>
        <v>Share any additional details that would help data privacy analysts assess your solution.</v>
      </c>
      <c r="F31" s="100" t="str">
        <f aca="false">VLOOKUP($A31,'Privacy Analyst Evaluation'!$A$46:$F$120,6,0)&amp;""</f>
        <v/>
      </c>
      <c r="H31" s="5"/>
    </row>
    <row r="32" s="1" customFormat="true" ht="42.75" hidden="false" customHeight="true" outlineLevel="0" collapsed="false">
      <c r="A32" s="35" t="s">
        <v>350</v>
      </c>
      <c r="B32" s="45" t="str">
        <f aca="false">VLOOKUP($A32,Questions!$A$2:$X$333,2,0)</f>
        <v>Have you had any violations of your internal privacy policies or violations of applicable privacy law in the past 36 months?</v>
      </c>
      <c r="C32" s="46" t="s">
        <v>232</v>
      </c>
      <c r="D32" s="87"/>
      <c r="E32" s="99" t="str">
        <f aca="false">IF($C32="Yes",VLOOKUP($A32,Questions!$A$2:$X$333,17,0)&amp;"",IF($C32="No",VLOOKUP($A32,Questions!$A$2:$X$333,16,0)&amp;"",VLOOKUP($A32,Questions!$A$2:$X$333,15,0)&amp;""))</f>
        <v/>
      </c>
      <c r="F32" s="100" t="str">
        <f aca="false">VLOOKUP($A32,'Privacy Analyst Evaluation'!$A$46:$F$120,6,0)&amp;""</f>
        <v/>
      </c>
      <c r="H32" s="5"/>
    </row>
    <row r="33" s="1" customFormat="true" ht="46.25" hidden="false" customHeight="false" outlineLevel="0" collapsed="false">
      <c r="A33" s="35" t="s">
        <v>351</v>
      </c>
      <c r="B33" s="45" t="str">
        <f aca="false">VLOOKUP($A33,Questions!$A$2:$X$333,2,0)</f>
        <v>Do you have a dedicated data privacy staff or office?</v>
      </c>
      <c r="C33" s="46" t="s">
        <v>232</v>
      </c>
      <c r="D33" s="87"/>
      <c r="E33" s="99" t="str">
        <f aca="false">IF($C33="Yes",VLOOKUP($A33,Questions!$A$2:$X$333,17,0)&amp;"",IF($C33="No",VLOOKUP($A33,Questions!$A$2:$X$333,16,0)&amp;"",VLOOKUP($A33,Questions!$A$2:$X$333,15,0)&amp;""))</f>
        <v>Describe who is responsible for data privacy, including department, size, talents, resources, etc.</v>
      </c>
      <c r="F33" s="100" t="str">
        <f aca="false">VLOOKUP($A33,'Privacy Analyst Evaluation'!$A$46:$F$120,6,0)&amp;""</f>
        <v/>
      </c>
      <c r="G33" s="51" t="s">
        <v>37</v>
      </c>
      <c r="H33" s="5"/>
    </row>
    <row r="34" s="1" customFormat="true" ht="36.75" hidden="false" customHeight="true" outlineLevel="0" collapsed="false">
      <c r="A34" s="31" t="str">
        <f aca="false">VLOOKUP(LEFT($A35,4),'Auto Responses'!$N$4:$O$38,2,0)&amp;""</f>
        <v> Privacy-Specific Documentation</v>
      </c>
      <c r="B34" s="42"/>
      <c r="C34" s="19" t="s">
        <v>21</v>
      </c>
      <c r="D34" s="19" t="s">
        <v>22</v>
      </c>
      <c r="E34" s="43" t="s">
        <v>23</v>
      </c>
      <c r="F34" s="90" t="s">
        <v>24</v>
      </c>
      <c r="H34" s="5"/>
    </row>
    <row r="35" s="1" customFormat="true" ht="99.75" hidden="false" customHeight="true" outlineLevel="0" collapsed="false">
      <c r="A35" s="35" t="s">
        <v>352</v>
      </c>
      <c r="B35" s="45" t="str">
        <f aca="false">VLOOKUP($A35,Questions!$A$2:$X$333,2,0)</f>
        <v>If you have completed a SOC 2 audit, does it include the Privacy Trust Service Principle?</v>
      </c>
      <c r="C35" s="46" t="s">
        <v>232</v>
      </c>
      <c r="D35" s="87" t="s">
        <v>16</v>
      </c>
      <c r="E35" s="99" t="str">
        <f aca="false">IF($C35="Yes",VLOOKUP($A35,Questions!$A$2:$X$333,17,0)&amp;"",IF($C35="No",VLOOKUP($A35,Questions!$A$2:$X$333,16,0)&amp;"",IF($C35="N/A",VLOOKUP($A35,Questions!$A$2:$X$333,18,0)&amp;"",VLOOKUP($A35,Questions!$A$2:$X$333,15,0)&amp;"")))</f>
        <v>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v>
      </c>
      <c r="F35" s="100" t="str">
        <f aca="false">VLOOKUP($A35,'Privacy Analyst Evaluation'!$A$46:$F$120,6,0)&amp;""</f>
        <v/>
      </c>
      <c r="H35" s="5"/>
    </row>
    <row r="36" s="1" customFormat="true" ht="36.75" hidden="false" customHeight="true" outlineLevel="0" collapsed="false">
      <c r="A36" s="35" t="s">
        <v>353</v>
      </c>
      <c r="B36" s="45" t="str">
        <f aca="false">VLOOKUP($A36,Questions!$A$2:$X$333,2,0)</f>
        <v>Do you conform with a specific industry-standard privacy framework (e.g., NIST Privacy Framework, GDPR, ISO 27701)?</v>
      </c>
      <c r="C36" s="46" t="s">
        <v>26</v>
      </c>
      <c r="D36" s="87" t="s">
        <v>16</v>
      </c>
      <c r="E36" s="99" t="str">
        <f aca="false">IF($C36="Yes",VLOOKUP($A36,Questions!$A$2:$X$333,17,0)&amp;"",IF($C36="No",VLOOKUP($A36,Questions!$A$2:$X$333,16,0)&amp;"",VLOOKUP($A36,Questions!$A$2:$X$333,15,0)&amp;""))</f>
        <v>Please provide any plans to conform with one or more of the industry-standard frameworks, including anticipated timelines, and indicate which framework(s) will be used.</v>
      </c>
      <c r="F36" s="100" t="str">
        <f aca="false">VLOOKUP($A36,'Privacy Analyst Evaluation'!$A$46:$F$120,6,0)&amp;""</f>
        <v/>
      </c>
      <c r="H36" s="5"/>
    </row>
    <row r="37" s="1" customFormat="true" ht="40.5" hidden="false" customHeight="true" outlineLevel="0" collapsed="false">
      <c r="A37" s="35" t="s">
        <v>354</v>
      </c>
      <c r="B37" s="45" t="str">
        <f aca="false">VLOOKUP($A37,Questions!$A$2:$X$333,2,0)</f>
        <v>Does your employee onboarding and offboarding policy include training of employees on information security and data privacy?</v>
      </c>
      <c r="C37" s="46" t="s">
        <v>225</v>
      </c>
      <c r="D37" s="87" t="s">
        <v>16</v>
      </c>
      <c r="E37" s="99" t="str">
        <f aca="false">IF($C37="Yes",VLOOKUP($A37,Questions!$A$2:$X$333,17,0)&amp;"",IF($C37="No",VLOOKUP($A37,Questions!$A$2:$X$333,16,0)&amp;"",VLOOKUP($A37,Questions!$A$2:$X$333,15,0)&amp;""))</f>
        <v>Please provide any plans to develop and implement appropriate employee training as part of onboarding and offboarding.
If no plans currently exist, please provide information on any compensating measures your organization takes to address this issue.</v>
      </c>
      <c r="F37" s="100" t="str">
        <f aca="false">VLOOKUP($A37,'Privacy Analyst Evaluation'!$A$46:$F$120,6,0)&amp;""</f>
        <v/>
      </c>
      <c r="G37" s="51" t="s">
        <v>37</v>
      </c>
      <c r="H37" s="5"/>
    </row>
    <row r="38" s="1" customFormat="true" ht="36.75" hidden="false" customHeight="true" outlineLevel="0" collapsed="false">
      <c r="A38" s="31" t="str">
        <f aca="false">VLOOKUP(LEFT($A39,4),'Auto Responses'!$N$4:$O$38,2,0)&amp;""</f>
        <v> Privacy of Third Parties</v>
      </c>
      <c r="B38" s="42"/>
      <c r="C38" s="19" t="s">
        <v>21</v>
      </c>
      <c r="D38" s="19" t="s">
        <v>22</v>
      </c>
      <c r="E38" s="43" t="s">
        <v>23</v>
      </c>
      <c r="F38" s="90" t="s">
        <v>24</v>
      </c>
      <c r="H38" s="5"/>
    </row>
    <row r="39" s="1" customFormat="true" ht="120.85" hidden="false" customHeight="false" outlineLevel="0" collapsed="false">
      <c r="A39" s="35" t="s">
        <v>355</v>
      </c>
      <c r="B39" s="45" t="str">
        <f aca="false">VLOOKUP($A39,Questions!$A$2:$X$333,2,0)</f>
        <v>Do you have contractual agreements with third parties that require them to maintain standards and to comply with all regulatory requirements?*</v>
      </c>
      <c r="C39" s="46" t="s">
        <v>232</v>
      </c>
      <c r="D39" s="87" t="s">
        <v>16</v>
      </c>
      <c r="E39" s="99" t="str">
        <f aca="false">IF($C39="Yes",VLOOKUP($A39,Questions!$A$2:$X$333,17,0)&amp;"",IF($C39="No",VLOOKUP($A39,Questions!$A$2:$X$333,16,0)&amp;"",VLOOKUP($A39,Questions!$A$2:$X$333,15,0)&amp;""))</f>
        <v>State your plans to ensure appropriate language is included in new and renewed contracts. State how your organization ensures that third parties maintain standards and comply with all regulatory requirements without contractual agreements to do so.</v>
      </c>
      <c r="F39" s="100" t="str">
        <f aca="false">VLOOKUP($A39,'Privacy Analyst Evaluation'!$A$46:$F$120,6,0)&amp;""</f>
        <v/>
      </c>
      <c r="H39" s="5"/>
    </row>
    <row r="40" s="1" customFormat="true" ht="60.75" hidden="false" customHeight="true" outlineLevel="0" collapsed="false">
      <c r="A40" s="35" t="s">
        <v>356</v>
      </c>
      <c r="B40" s="45" t="str">
        <f aca="false">VLOOKUP($A40,Questions!$A$2:$X$333,2,0)</f>
        <v>Do you perform privacy impact assesments of third parties that collect, process, or have access to personal data to ensure they meet industry and regulatory standards and to mitigate harmful, unethical, or discriminatory impacts on data subjects?</v>
      </c>
      <c r="C40" s="46" t="s">
        <v>232</v>
      </c>
      <c r="D40" s="87" t="s">
        <v>16</v>
      </c>
      <c r="E40" s="99" t="str">
        <f aca="false">IF($C40="Yes",VLOOKUP($A40,Questions!$A$2:$X$333,17,0)&amp;"",IF($C40="No",VLOOKUP($A40,Questions!$A$2:$X$333,16,0)&amp;"",VLOOKUP($A40,Questions!$A$2:$X$333,15,0)&amp;""))</f>
        <v>State your plans to perform data privacy assessments of third parties, including anticipated timelines and remediations if existing third parties cannot maintain or ensure privacy and security of client data entrusted to your organization.</v>
      </c>
      <c r="F40" s="100" t="str">
        <f aca="false">VLOOKUP($A40,'Privacy Analyst Evaluation'!$A$46:$F$120,6,0)&amp;""</f>
        <v/>
      </c>
      <c r="G40" s="51" t="s">
        <v>37</v>
      </c>
      <c r="H40" s="5"/>
    </row>
    <row r="41" s="1" customFormat="true" ht="36.75" hidden="false" customHeight="true" outlineLevel="0" collapsed="false">
      <c r="A41" s="31" t="str">
        <f aca="false">VLOOKUP(LEFT($A42,4),'Auto Responses'!$N$4:$O$38,2,0)&amp;""</f>
        <v> Privacy Change Management</v>
      </c>
      <c r="B41" s="42"/>
      <c r="C41" s="19" t="s">
        <v>21</v>
      </c>
      <c r="D41" s="19" t="s">
        <v>22</v>
      </c>
      <c r="E41" s="43" t="s">
        <v>23</v>
      </c>
      <c r="F41" s="90" t="s">
        <v>24</v>
      </c>
      <c r="H41" s="5"/>
    </row>
    <row r="42" s="1" customFormat="true" ht="42.75" hidden="false" customHeight="true" outlineLevel="0" collapsed="false">
      <c r="A42" s="35" t="s">
        <v>357</v>
      </c>
      <c r="B42" s="45" t="str">
        <f aca="false">VLOOKUP($A42,Questions!$A$2:$X$333,2,0)</f>
        <v>Does your change management process include privacy review and approval?</v>
      </c>
      <c r="C42" s="46" t="s">
        <v>232</v>
      </c>
      <c r="D42" s="87" t="s">
        <v>16</v>
      </c>
      <c r="E42" s="99" t="str">
        <f aca="false">IF($C42="Yes",VLOOKUP($A42,Questions!$A$2:$X$333,17,0)&amp;"",IF($C42="No",VLOOKUP($A42,Questions!$A$2:$X$333,16,0)&amp;"",VLOOKUP($A42,Questions!$A$2:$X$333,15,0)&amp;""))</f>
        <v>Describe any plans to implement.</v>
      </c>
      <c r="F42" s="100" t="str">
        <f aca="false">VLOOKUP($A42,'Privacy Analyst Evaluation'!$A$46:$F$120,6,0)&amp;""</f>
        <v/>
      </c>
      <c r="H42" s="5"/>
    </row>
    <row r="43" s="1" customFormat="true" ht="46.5" hidden="false" customHeight="true" outlineLevel="0" collapsed="false">
      <c r="A43" s="35" t="s">
        <v>358</v>
      </c>
      <c r="B43" s="45" t="str">
        <f aca="false">VLOOKUP($A43,Questions!$A$2:$X$333,2,0)</f>
        <v>Do you have policy and procedure, currently implemented, guiding how privacy risks are mitigated until they can be resolved?</v>
      </c>
      <c r="C43" s="46" t="s">
        <v>225</v>
      </c>
      <c r="D43" s="87" t="s">
        <v>16</v>
      </c>
      <c r="E43" s="99" t="str">
        <f aca="false">IF($C43="Yes",VLOOKUP($A43,Questions!$A$2:$X$333,17,0)&amp;"",IF($C43="No",VLOOKUP($A43,Questions!$A$2:$X$333,16,0)&amp;"",VLOOKUP($A43,Questions!$A$2:$X$333,15,0)&amp;""))</f>
        <v>Describe any plans to implement.</v>
      </c>
      <c r="F43" s="100" t="str">
        <f aca="false">VLOOKUP($A43,'Privacy Analyst Evaluation'!$A$46:$F$120,6,0)&amp;""</f>
        <v/>
      </c>
      <c r="G43" s="51" t="s">
        <v>37</v>
      </c>
      <c r="H43" s="5"/>
    </row>
    <row r="44" s="1" customFormat="true" ht="36.75" hidden="false" customHeight="true" outlineLevel="0" collapsed="false">
      <c r="A44" s="31" t="str">
        <f aca="false">VLOOKUP(LEFT($A45,4),'Auto Responses'!$N$4:$O$38,2,0)&amp;""</f>
        <v> Privacy of Sensitive Data</v>
      </c>
      <c r="B44" s="42"/>
      <c r="C44" s="19" t="s">
        <v>21</v>
      </c>
      <c r="D44" s="19" t="s">
        <v>22</v>
      </c>
      <c r="E44" s="43" t="s">
        <v>23</v>
      </c>
      <c r="F44" s="90" t="s">
        <v>24</v>
      </c>
      <c r="H44" s="5"/>
    </row>
    <row r="45" s="1" customFormat="true" ht="42.75" hidden="false" customHeight="true" outlineLevel="0" collapsed="false">
      <c r="A45" s="35" t="s">
        <v>359</v>
      </c>
      <c r="B45" s="45" t="str">
        <f aca="false">VLOOKUP($A45,Questions!$A$2:$X$333,2,0)</f>
        <v>Do you collect, process, or store demographic information?*</v>
      </c>
      <c r="C45" s="46" t="s">
        <v>26</v>
      </c>
      <c r="D45" s="87"/>
      <c r="E45" s="99" t="str">
        <f aca="false">IF($C45="Yes",VLOOKUP($A45,Questions!$A$2:$X$333,17,0)&amp;"",IF($C45="No",VLOOKUP($A45,Questions!$A$2:$X$333,16,0)&amp;"",VLOOKUP($A45,Questions!$A$2:$X$333,15,0)&amp;""))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45" s="100" t="str">
        <f aca="false">VLOOKUP($A45,'Privacy Analyst Evaluation'!$A$46:$F$120,6,0)&amp;""</f>
        <v/>
      </c>
      <c r="H45" s="5"/>
    </row>
    <row r="46" s="1" customFormat="true" ht="240.25" hidden="false" customHeight="false" outlineLevel="0" collapsed="false">
      <c r="A46" s="35" t="s">
        <v>360</v>
      </c>
      <c r="B46" s="45" t="str">
        <f aca="false">VLOOKUP($A46,Questions!$A$2:$X$333,2,0)</f>
        <v>Do you capture or create genetic, biometric, or behaviometric information (e.g., facial recognition or fingerprints)?*</v>
      </c>
      <c r="C46" s="46" t="s">
        <v>232</v>
      </c>
      <c r="D46" s="87"/>
      <c r="E46" s="99" t="str">
        <f aca="false">IF($C46="Yes",VLOOKUP($A46,Questions!$A$2:$X$333,17,0)&amp;"",IF($C46="No",VLOOKUP($A46,Questions!$A$2:$X$333,16,0)&amp;"",VLOOKUP($A46,Questions!$A$2:$X$333,15,0)&amp;""))</f>
        <v>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46" s="100" t="str">
        <f aca="false">VLOOKUP($A46,'Privacy Analyst Evaluation'!$A$46:$F$120,6,0)&amp;""</f>
        <v/>
      </c>
      <c r="H46" s="5"/>
    </row>
    <row r="47" s="1" customFormat="true" ht="60" hidden="false" customHeight="true" outlineLevel="0" collapsed="false">
      <c r="A47" s="35" t="s">
        <v>361</v>
      </c>
      <c r="B47" s="45" t="str">
        <f aca="false">VLOOKUP($A47,Questions!$A$2:$X$333,2,0)</f>
        <v>Do you combine institutional data (including "de-identified," "anonymized," or otherwise masked data) with personal data from any other sources?*</v>
      </c>
      <c r="C47" s="46" t="s">
        <v>232</v>
      </c>
      <c r="D47" s="87"/>
      <c r="E47" s="99" t="str">
        <f aca="false">IF($C47="Yes",VLOOKUP($A47,Questions!$A$2:$X$333,17,0)&amp;"",IF($C47="No",VLOOKUP($A47,Questions!$A$2:$X$333,16,0)&amp;"",VLOOKUP($A47,Questions!$A$2:$X$333,15,0)&amp;""))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47" s="100" t="str">
        <f aca="false">VLOOKUP($A47,'Privacy Analyst Evaluation'!$A$46:$F$120,6,0)&amp;""</f>
        <v/>
      </c>
      <c r="H47" s="5"/>
    </row>
    <row r="48" s="1" customFormat="true" ht="36" hidden="false" customHeight="true" outlineLevel="0" collapsed="false">
      <c r="A48" s="35" t="s">
        <v>362</v>
      </c>
      <c r="B48" s="45" t="str">
        <f aca="false">VLOOKUP($A48,Questions!$A$2:$X$333,2,0)</f>
        <v>Is institutional data coming into or going out of the United States at any point during collection, processing, storage, or archiving?</v>
      </c>
      <c r="C48" s="46" t="s">
        <v>232</v>
      </c>
      <c r="D48" s="87"/>
      <c r="E48" s="99" t="str">
        <f aca="false">IF($C48="Yes",VLOOKUP($A48,Questions!$A$2:$X$333,17,0)&amp;"",IF($C48="No",VLOOKUP($A48,Questions!$A$2:$X$333,16,0)&amp;"",VLOOKUP($A48,Questions!$A$2:$X$333,15,0)&amp;""))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48" s="100" t="str">
        <f aca="false">VLOOKUP($A48,'Privacy Analyst Evaluation'!$A$46:$F$120,6,0)&amp;""</f>
        <v/>
      </c>
      <c r="H48" s="5"/>
    </row>
    <row r="49" s="1" customFormat="true" ht="32.25" hidden="false" customHeight="true" outlineLevel="0" collapsed="false">
      <c r="A49" s="35" t="s">
        <v>363</v>
      </c>
      <c r="B49" s="45" t="str">
        <f aca="false">VLOOKUP($A49,Questions!$A$2:$X$333,2,0)</f>
        <v>Do you capture device information (e.g., IP address, MAC address)?</v>
      </c>
      <c r="C49" s="46" t="s">
        <v>232</v>
      </c>
      <c r="D49" s="87"/>
      <c r="E49" s="99" t="str">
        <f aca="false">IF($C49="Yes",VLOOKUP($A49,Questions!$A$2:$X$333,17,0)&amp;"",IF($C49="No",VLOOKUP($A49,Questions!$A$2:$X$333,16,0)&amp;"",VLOOKUP($A49,Questions!$A$2:$X$333,15,0)&amp;""))</f>
        <v>Device information can be captured for a variety of reasons, from analytics to marketing to network management and security. It is important to know the details in order to be clear on the privacy implications.</v>
      </c>
      <c r="F49" s="100" t="str">
        <f aca="false">VLOOKUP($A49,'Privacy Analyst Evaluation'!$A$46:$F$120,6,0)&amp;""</f>
        <v/>
      </c>
      <c r="H49" s="5"/>
    </row>
    <row r="50" s="1" customFormat="true" ht="49.5" hidden="false" customHeight="true" outlineLevel="0" collapsed="false">
      <c r="A50" s="35" t="s">
        <v>364</v>
      </c>
      <c r="B50" s="45" t="str">
        <f aca="false">VLOOKUP($A50,Questions!$A$2:$X$333,2,0)</f>
        <v>Does any part of this service/project involve a web/app tracking component (e.g., use of web-tracking pixels, cookies)?</v>
      </c>
      <c r="C50" s="46" t="s">
        <v>232</v>
      </c>
      <c r="D50" s="87"/>
      <c r="E50" s="99" t="str">
        <f aca="false">IF($C50="Yes",VLOOKUP($A50,Questions!$A$2:$X$333,17,0)&amp;"",IF($C50="No",VLOOKUP($A50,Questions!$A$2:$X$333,16,0)&amp;"",VLOOKUP($A50,Questions!$A$2:$X$333,15,0)&amp;""))</f>
        <v>Web tracking can be used to identify users via their IP address, login information, browser information, etc.</v>
      </c>
      <c r="F50" s="100" t="str">
        <f aca="false">VLOOKUP($A50,'Privacy Analyst Evaluation'!$A$46:$F$120,6,0)&amp;""</f>
        <v/>
      </c>
      <c r="H50" s="5"/>
    </row>
    <row r="51" s="1" customFormat="true" ht="44.25" hidden="false" customHeight="true" outlineLevel="0" collapsed="false">
      <c r="A51" s="35" t="s">
        <v>365</v>
      </c>
      <c r="B51" s="45" t="str">
        <f aca="false">VLOOKUP($A51,Questions!$A$2:$X$333,2,0)</f>
        <v>Does your staff (or a third party) have access to institutional data (e.g., financial, PHI, or other sensitive information) through any means?</v>
      </c>
      <c r="C51" s="46" t="s">
        <v>232</v>
      </c>
      <c r="D51" s="87"/>
      <c r="E51" s="99" t="str">
        <f aca="false">IF($C51="Yes",VLOOKUP($A51,Questions!$A$2:$X$333,17,0)&amp;"",IF($C51="No",VLOOKUP($A51,Questions!$A$2:$X$333,16,0)&amp;"",VLOOKUP($A51,Questions!$A$2:$X$333,15,0)&amp;""))</f>
        <v>Accessing institutional data may be necessary for legitimate business purposes.</v>
      </c>
      <c r="F51" s="100" t="str">
        <f aca="false">VLOOKUP($A51,'Privacy Analyst Evaluation'!$A$46:$F$120,6,0)&amp;""</f>
        <v/>
      </c>
      <c r="H51" s="5"/>
    </row>
    <row r="52" s="1" customFormat="true" ht="52.5" hidden="false" customHeight="true" outlineLevel="0" collapsed="false">
      <c r="A52" s="35" t="s">
        <v>366</v>
      </c>
      <c r="B52" s="45" t="str">
        <f aca="false">VLOOKUP($A52,Questions!$A$2:$X$333,2,0)</f>
        <v>Will you handle personal data in a manner compliant with all relevant laws, regulations, and applicable institution policies?</v>
      </c>
      <c r="C52" s="46" t="s">
        <v>232</v>
      </c>
      <c r="D52" s="87"/>
      <c r="E52" s="99" t="str">
        <f aca="false">IF($C52="Yes",VLOOKUP($A52,Questions!$A$2:$X$333,17,0)&amp;"",IF($C52="No",VLOOKUP($A52,Questions!$A$2:$X$333,16,0)&amp;"",VLOOKUP($A52,Questions!$A$2:$X$333,15,0)&amp;""))</f>
        <v>If no, why not? Are there plans for this to be implemented and, if so, when?</v>
      </c>
      <c r="F52" s="100" t="str">
        <f aca="false">VLOOKUP($A52,'Privacy Analyst Evaluation'!$A$46:$F$120,6,0)&amp;""</f>
        <v/>
      </c>
      <c r="G52" s="51" t="s">
        <v>37</v>
      </c>
      <c r="H52" s="5"/>
    </row>
    <row r="53" s="1" customFormat="true" ht="36.75" hidden="false" customHeight="true" outlineLevel="0" collapsed="false">
      <c r="A53" s="31" t="str">
        <f aca="false">VLOOKUP(LEFT($A54,4),'Auto Responses'!$N$4:$O$38,2,0)&amp;""</f>
        <v> Privacy Policies and Procedures</v>
      </c>
      <c r="B53" s="42"/>
      <c r="C53" s="19" t="s">
        <v>21</v>
      </c>
      <c r="D53" s="19" t="s">
        <v>22</v>
      </c>
      <c r="E53" s="43" t="s">
        <v>23</v>
      </c>
      <c r="F53" s="90" t="s">
        <v>24</v>
      </c>
      <c r="H53" s="5"/>
    </row>
    <row r="54" s="1" customFormat="true" ht="26.25" hidden="false" customHeight="true" outlineLevel="0" collapsed="false">
      <c r="A54" s="35" t="s">
        <v>367</v>
      </c>
      <c r="B54" s="45" t="str">
        <f aca="false">VLOOKUP($A54,Questions!$A$2:$X$333,2,0)</f>
        <v>Do you have a documented privacy management process?</v>
      </c>
      <c r="C54" s="46" t="s">
        <v>232</v>
      </c>
      <c r="D54" s="87" t="s">
        <v>16</v>
      </c>
      <c r="E54" s="99" t="str">
        <f aca="false">IF($C54="Yes",VLOOKUP($A54,Questions!$A$2:$X$333,17,0)&amp;"",IF($C54="No",VLOOKUP($A54,Questions!$A$2:$X$333,16,0)&amp;"",VLOOKUP($A54,Questions!$A$2:$X$333,15,0)&amp;""))</f>
        <v>Are there plans to implement? If so, when will this be completed?</v>
      </c>
      <c r="F54" s="100" t="str">
        <f aca="false">VLOOKUP($A54,'Privacy Analyst Evaluation'!$A$46:$F$120,6,0)&amp;""</f>
        <v/>
      </c>
      <c r="H54" s="5"/>
    </row>
    <row r="55" s="1" customFormat="true" ht="40.5" hidden="false" customHeight="true" outlineLevel="0" collapsed="false">
      <c r="A55" s="35" t="s">
        <v>368</v>
      </c>
      <c r="B55" s="45" t="str">
        <f aca="false">VLOOKUP($A55,Questions!$A$2:$X$333,2,0)</f>
        <v>Are privacy principles designed into the product lifecycle (i.e., privacy-by-design)?</v>
      </c>
      <c r="C55" s="46" t="s">
        <v>26</v>
      </c>
      <c r="D55" s="70" t="s">
        <v>16</v>
      </c>
      <c r="E55" s="99" t="str">
        <f aca="false">IF($C55="Yes",VLOOKUP($A55,Questions!$A$2:$X$333,17,0)&amp;"",IF($C55="No",VLOOKUP($A55,Questions!$A$2:$X$333,16,0)&amp;"",VLOOKUP($A55,Questions!$A$2:$X$333,15,0)&amp;""))</f>
        <v>State why principles are not designed into the product lifecycle.</v>
      </c>
      <c r="F55" s="100" t="str">
        <f aca="false">VLOOKUP($A55,'Privacy Analyst Evaluation'!$A$46:$F$120,6,0)&amp;""</f>
        <v/>
      </c>
      <c r="H55" s="5"/>
    </row>
    <row r="56" s="1" customFormat="true" ht="33" hidden="false" customHeight="true" outlineLevel="0" collapsed="false">
      <c r="A56" s="35" t="s">
        <v>369</v>
      </c>
      <c r="B56" s="45" t="str">
        <f aca="false">VLOOKUP($A56,Questions!$A$2:$X$333,2,0)</f>
        <v>Will you comply with applicable breach notification laws?</v>
      </c>
      <c r="C56" s="46" t="s">
        <v>26</v>
      </c>
      <c r="D56" s="70" t="s">
        <v>16</v>
      </c>
      <c r="E56" s="99" t="str">
        <f aca="false">IF($C56="Yes",VLOOKUP($A56,Questions!$A$2:$X$333,17,0)&amp;"",IF($C56="No",VLOOKUP($A56,Questions!$A$2:$X$333,16,0)&amp;"",VLOOKUP($A56,Questions!$A$2:$X$333,15,0)&amp;""))</f>
        <v>Provide reason for not complying.</v>
      </c>
      <c r="F56" s="100" t="str">
        <f aca="false">VLOOKUP($A56,'Privacy Analyst Evaluation'!$A$46:$F$120,6,0)&amp;""</f>
        <v/>
      </c>
      <c r="H56" s="5"/>
    </row>
    <row r="57" s="1" customFormat="true" ht="39.75" hidden="false" customHeight="true" outlineLevel="0" collapsed="false">
      <c r="A57" s="35" t="s">
        <v>370</v>
      </c>
      <c r="B57" s="45" t="str">
        <f aca="false">VLOOKUP($A57,Questions!$A$2:$X$333,2,0)</f>
        <v>Will you comply with the institution's policies regarding user privacy and data protection?</v>
      </c>
      <c r="C57" s="46" t="s">
        <v>26</v>
      </c>
      <c r="D57" s="70" t="s">
        <v>16</v>
      </c>
      <c r="E57" s="99" t="str">
        <f aca="false">IF($C57="Yes",VLOOKUP($A57,Questions!$A$2:$X$333,17,0)&amp;"",IF($C57="No",VLOOKUP($A57,Questions!$A$2:$X$333,16,0)&amp;"",VLOOKUP($A57,Questions!$A$2:$X$333,15,0)&amp;""))</f>
        <v>Explain the legal or operational reasons and offer an alternative policy.</v>
      </c>
      <c r="F57" s="100" t="str">
        <f aca="false">VLOOKUP($A57,'Privacy Analyst Evaluation'!$A$46:$F$120,6,0)&amp;""</f>
        <v/>
      </c>
      <c r="H57" s="5"/>
    </row>
    <row r="58" s="1" customFormat="true" ht="38.25" hidden="false" customHeight="true" outlineLevel="0" collapsed="false">
      <c r="A58" s="35" t="s">
        <v>371</v>
      </c>
      <c r="B58" s="45" t="str">
        <f aca="false">VLOOKUP($A58,Questions!$A$2:$X$333,2,0)</f>
        <v>Is your company subject to the laws and regulations of the institution's geographic region?</v>
      </c>
      <c r="C58" s="46" t="s">
        <v>26</v>
      </c>
      <c r="D58" s="70" t="s">
        <v>16</v>
      </c>
      <c r="E58" s="99" t="str">
        <f aca="false">IF($C58="Yes",VLOOKUP($A58,Questions!$A$2:$X$333,17,0)&amp;"",IF($C58="No",VLOOKUP($A58,Questions!$A$2:$X$333,16,0)&amp;"",VLOOKUP($A58,Questions!$A$2:$X$333,15,0)&amp;""))</f>
        <v>Explain why your operations fall outside the region’s legal scope and how you nevertheless ensure regulatory compliance.</v>
      </c>
      <c r="F58" s="100" t="str">
        <f aca="false">VLOOKUP($A58,'Privacy Analyst Evaluation'!$A$46:$F$120,6,0)&amp;""</f>
        <v/>
      </c>
      <c r="H58" s="5"/>
    </row>
    <row r="59" s="1" customFormat="true" ht="29.25" hidden="false" customHeight="true" outlineLevel="0" collapsed="false">
      <c r="A59" s="35" t="s">
        <v>372</v>
      </c>
      <c r="B59" s="45" t="str">
        <f aca="false">VLOOKUP($A59,Questions!$A$2:$X$333,2,0)</f>
        <v>Do you have a privacy awareness/training program?*</v>
      </c>
      <c r="C59" s="46" t="s">
        <v>26</v>
      </c>
      <c r="D59" s="70" t="s">
        <v>16</v>
      </c>
      <c r="E59" s="99" t="str">
        <f aca="false">IF($C59="Yes",VLOOKUP($A59,Questions!$A$2:$X$333,17,0)&amp;"",IF($C59="No",VLOOKUP($A59,Questions!$A$2:$X$333,16,0)&amp;"",VLOOKUP($A59,Questions!$A$2:$X$333,15,0)&amp;""))</f>
        <v>Describe plans to include data privacy training or why you have determined it is not needed.</v>
      </c>
      <c r="F59" s="100" t="str">
        <f aca="false">VLOOKUP($A59,'Privacy Analyst Evaluation'!$A$46:$F$120,6,0)&amp;""</f>
        <v/>
      </c>
      <c r="H59" s="5"/>
    </row>
    <row r="60" s="1" customFormat="true" ht="29.25" hidden="false" customHeight="true" outlineLevel="0" collapsed="false">
      <c r="A60" s="35" t="s">
        <v>373</v>
      </c>
      <c r="B60" s="45" t="str">
        <f aca="false">VLOOKUP($A60,Questions!$A$2:$X$333,2,0)</f>
        <v>Is privacy awareness training mandatory for all employees?</v>
      </c>
      <c r="C60" s="46" t="s">
        <v>26</v>
      </c>
      <c r="D60" s="70" t="s">
        <v>16</v>
      </c>
      <c r="E60" s="99" t="str">
        <f aca="false">IF($C60="Yes",VLOOKUP($A60,Questions!$A$2:$X$333,17,0)&amp;"",IF($C60="No",VLOOKUP($A60,Questions!$A$2:$X$333,16,0)&amp;"",VLOOKUP($A60,Questions!$A$2:$X$333,15,0)&amp;""))</f>
        <v>Describe plans to require.</v>
      </c>
      <c r="F60" s="100" t="str">
        <f aca="false">VLOOKUP($A60,'Privacy Analyst Evaluation'!$A$46:$F$120,6,0)&amp;""</f>
        <v/>
      </c>
      <c r="H60" s="5"/>
    </row>
    <row r="61" s="1" customFormat="true" ht="39.75" hidden="false" customHeight="true" outlineLevel="0" collapsed="false">
      <c r="A61" s="35" t="s">
        <v>374</v>
      </c>
      <c r="B61" s="45" t="str">
        <f aca="false">VLOOKUP($A61,Questions!$A$2:$X$333,2,0)</f>
        <v>Is AI privacy and ethics awareness/training required for all employees who work with AI?</v>
      </c>
      <c r="C61" s="46" t="s">
        <v>26</v>
      </c>
      <c r="D61" s="70" t="s">
        <v>16</v>
      </c>
      <c r="E61" s="99" t="str">
        <f aca="false">IF($C61="Yes",VLOOKUP($A61,Questions!$A$2:$X$333,17,0)&amp;"",IF($C61="No",VLOOKUP($A61,Questions!$A$2:$X$333,16,0)&amp;"",IF($C61="N/A",VLOOKUP($A61,Questions!$A$2:$X$333,18,0)&amp;"",VLOOKUP($A61,Questions!$A$2:$X$333,15,0)&amp;"")))</f>
        <v>Describe plans to include AI training.</v>
      </c>
      <c r="F61" s="100" t="str">
        <f aca="false">VLOOKUP($A61,'Privacy Analyst Evaluation'!$A$46:$F$120,6,0)&amp;""</f>
        <v/>
      </c>
      <c r="H61" s="5"/>
    </row>
    <row r="62" s="1" customFormat="true" ht="39.75" hidden="false" customHeight="true" outlineLevel="0" collapsed="false">
      <c r="A62" s="35" t="s">
        <v>375</v>
      </c>
      <c r="B62" s="45" t="str">
        <f aca="false">VLOOKUP($A62,Questions!$A$2:$X$333,2,0)</f>
        <v>Do you have any decision-making processes that are completely automated (i.e., there is no human involvement)?</v>
      </c>
      <c r="C62" s="46" t="s">
        <v>26</v>
      </c>
      <c r="D62" s="70" t="s">
        <v>16</v>
      </c>
      <c r="E62" s="99" t="str">
        <f aca="false">IF($C62="Yes",VLOOKUP($A62,Questions!$A$2:$X$333,17,0)&amp;"",IF($C62="No",VLOOKUP($A62,Questions!$A$2:$X$333,16,0)&amp;"",VLOOKUP($A62,Questions!$A$2:$X$333,15,0)&amp;""))</f>
        <v>Examples of such automated decisions could include automatically denying or approving user access requests, flagging or blocking transactions based on risk scores, or AI-driven decisions that affect user outcomes (e.g., eligibility, grading, pricing).</v>
      </c>
      <c r="F62" s="100" t="str">
        <f aca="false">VLOOKUP($A62,'Privacy Analyst Evaluation'!$A$46:$F$120,6,0)&amp;""</f>
        <v/>
      </c>
      <c r="H62" s="5"/>
    </row>
    <row r="63" s="1" customFormat="true" ht="54" hidden="false" customHeight="true" outlineLevel="0" collapsed="false">
      <c r="A63" s="35" t="s">
        <v>376</v>
      </c>
      <c r="B63" s="45" t="str">
        <f aca="false">VLOOKUP($A63,Questions!$A$2:$X$333,2,0)</f>
        <v>Do you have a documented process for managing automated processing, including validations, monitoring, and data subject requests?</v>
      </c>
      <c r="C63" s="46" t="s">
        <v>26</v>
      </c>
      <c r="D63" s="70" t="s">
        <v>16</v>
      </c>
      <c r="E63" s="99" t="str">
        <f aca="false">IF($C63="Yes",VLOOKUP($A63,Questions!$A$2:$X$333,17,0)&amp;"",IF($C63="No",VLOOKUP($A63,Questions!$A$2:$X$333,16,0)&amp;"",VLOOKUP($A63,Questions!$A$2:$X$333,15,0)&amp;""))</f>
        <v>Describe plans to implement processes in the future.</v>
      </c>
      <c r="F63" s="100" t="str">
        <f aca="false">VLOOKUP($A63,'Privacy Analyst Evaluation'!$A$46:$F$120,6,0)&amp;""</f>
        <v/>
      </c>
      <c r="H63" s="5"/>
    </row>
    <row r="64" s="1" customFormat="true" ht="40.5" hidden="false" customHeight="true" outlineLevel="0" collapsed="false">
      <c r="A64" s="35" t="s">
        <v>377</v>
      </c>
      <c r="B64" s="45" t="str">
        <f aca="false">VLOOKUP($A64,Questions!$A$2:$X$333,2,0)</f>
        <v>Do you have a documented policy for sharing information with law enforcement?</v>
      </c>
      <c r="C64" s="46" t="s">
        <v>26</v>
      </c>
      <c r="D64" s="70" t="s">
        <v>16</v>
      </c>
      <c r="E64" s="99" t="str">
        <f aca="false">IF($C64="Yes",VLOOKUP($A64,Questions!$A$2:$X$333,17,0)&amp;"",IF($C64="No",VLOOKUP($A64,Questions!$A$2:$X$333,16,0)&amp;"",VLOOKUP($A64,Questions!$A$2:$X$333,15,0)&amp;""))</f>
        <v>Explain any plans to develop a policy. If no plans exist, explain why not.</v>
      </c>
      <c r="F64" s="100" t="str">
        <f aca="false">VLOOKUP($A64,'Privacy Analyst Evaluation'!$A$46:$F$120,6,0)&amp;""</f>
        <v/>
      </c>
      <c r="H64" s="5"/>
    </row>
    <row r="65" s="1" customFormat="true" ht="39.75" hidden="false" customHeight="true" outlineLevel="0" collapsed="false">
      <c r="A65" s="35" t="s">
        <v>378</v>
      </c>
      <c r="B65" s="45" t="str">
        <f aca="false">VLOOKUP($A65,Questions!$A$2:$X$333,2,0)</f>
        <v>Do you share any institutional data with law enforcement without a valid warrant or subpoena?*</v>
      </c>
      <c r="C65" s="46" t="s">
        <v>26</v>
      </c>
      <c r="D65" s="70" t="s">
        <v>16</v>
      </c>
      <c r="E65" s="99" t="str">
        <f aca="false">IF($C65="Yes",VLOOKUP($A65,Questions!$A$2:$X$333,17,0)&amp;"",IF($C65="No",VLOOKUP($A65,Questions!$A$2:$X$333,16,0)&amp;"",VLOOKUP($A65,Questions!$A$2:$X$333,15,0)&amp;""))</f>
        <v>Describe how you ensure this does not occur.</v>
      </c>
      <c r="F65" s="100" t="str">
        <f aca="false">VLOOKUP($A65,'Privacy Analyst Evaluation'!$A$46:$F$120,6,0)&amp;""</f>
        <v/>
      </c>
      <c r="H65" s="5"/>
    </row>
    <row r="66" s="1" customFormat="true" ht="26.25" hidden="false" customHeight="true" outlineLevel="0" collapsed="false">
      <c r="A66" s="35" t="s">
        <v>379</v>
      </c>
      <c r="B66" s="45" t="str">
        <f aca="false">VLOOKUP($A66,Questions!$A$2:$X$333,2,0)</f>
        <v>Does your incident response team include a privacy analyst/officer?</v>
      </c>
      <c r="C66" s="46" t="s">
        <v>26</v>
      </c>
      <c r="D66" s="70" t="s">
        <v>16</v>
      </c>
      <c r="E66" s="99" t="str">
        <f aca="false">IF($C66="Yes",VLOOKUP($A66,Questions!$A$2:$X$333,17,0)&amp;"",IF($C66="No",VLOOKUP($A66,Questions!$A$2:$X$333,16,0)&amp;"",VLOOKUP($A66,Questions!$A$2:$X$333,15,0)&amp;""))</f>
        <v>Explain why not</v>
      </c>
      <c r="F66" s="100" t="str">
        <f aca="false">VLOOKUP($A66,'Privacy Analyst Evaluation'!$A$46:$F$120,6,0)&amp;""</f>
        <v/>
      </c>
      <c r="G66" s="51" t="s">
        <v>37</v>
      </c>
      <c r="H66" s="5"/>
    </row>
    <row r="67" s="1" customFormat="true" ht="36.75" hidden="false" customHeight="true" outlineLevel="0" collapsed="false">
      <c r="A67" s="31" t="str">
        <f aca="false">VLOOKUP(LEFT($A68,4),'Auto Responses'!$N$4:$O$38,2,0)&amp;""</f>
        <v> International Privacy</v>
      </c>
      <c r="B67" s="42"/>
      <c r="C67" s="19" t="s">
        <v>21</v>
      </c>
      <c r="D67" s="19" t="s">
        <v>22</v>
      </c>
      <c r="E67" s="43" t="s">
        <v>23</v>
      </c>
      <c r="F67" s="90" t="s">
        <v>24</v>
      </c>
      <c r="H67" s="5"/>
    </row>
    <row r="68" s="1" customFormat="true" ht="42.75" hidden="false" customHeight="true" outlineLevel="0" collapsed="false">
      <c r="A68" s="35" t="s">
        <v>380</v>
      </c>
      <c r="B68" s="45" t="str">
        <f aca="false">VLOOKUP($A68,Questions!$A$2:$X$333,2,0)</f>
        <v>Will data be collected from or processed in or stored in the European Economic Area (EEA)?</v>
      </c>
      <c r="C68" s="46" t="s">
        <v>26</v>
      </c>
      <c r="D68" s="70" t="s">
        <v>381</v>
      </c>
      <c r="E68" s="99" t="str">
        <f aca="false">IF($C68="Yes",VLOOKUP($A68,Questions!$A$2:$X$333,17,0)&amp;"",IF($C68="No",VLOOKUP($A68,Questions!$A$2:$X$333,16,0)&amp;"",VLOOKUP($A68,Questions!$A$2:$X$333,15,0)&amp;""))</f>
        <v/>
      </c>
      <c r="F68" s="100" t="str">
        <f aca="false">VLOOKUP($A68,'Privacy Analyst Evaluation'!$A$46:$F$120,6,0)&amp;""</f>
        <v/>
      </c>
      <c r="H68" s="5"/>
    </row>
    <row r="69" s="1" customFormat="true" ht="28.5" hidden="false" customHeight="true" outlineLevel="0" collapsed="false">
      <c r="A69" s="35" t="s">
        <v>382</v>
      </c>
      <c r="B69" s="45" t="str">
        <f aca="false">VLOOKUP($A69,Questions!$A$2:$X$333,2,0)</f>
        <v>Do you have a data protection officer (DPO)?</v>
      </c>
      <c r="C69" s="46" t="s">
        <v>26</v>
      </c>
      <c r="D69" s="70" t="s">
        <v>383</v>
      </c>
      <c r="E69" s="99" t="str">
        <f aca="false">IF($C69="Yes",VLOOKUP($A69,Questions!$A$2:$X$333,17,0)&amp;"",IF($C69="No",VLOOKUP($A69,Questions!$A$2:$X$333,16,0)&amp;"",VLOOKUP($A69,Questions!$A$2:$X$333,15,0)&amp;""))</f>
        <v>Explain why not</v>
      </c>
      <c r="F69" s="100" t="str">
        <f aca="false">VLOOKUP($A69,'Privacy Analyst Evaluation'!$A$46:$F$120,6,0)&amp;""</f>
        <v/>
      </c>
      <c r="H69" s="5"/>
    </row>
    <row r="70" s="1" customFormat="true" ht="38.25" hidden="false" customHeight="true" outlineLevel="0" collapsed="false">
      <c r="A70" s="35" t="s">
        <v>384</v>
      </c>
      <c r="B70" s="45" t="str">
        <f aca="false">VLOOKUP($A70,Questions!$A$2:$X$333,2,0)</f>
        <v>Will you sign appropriate GDPR Standard Contractual Clauses (SCCs) with the institution?</v>
      </c>
      <c r="C70" s="46" t="s">
        <v>26</v>
      </c>
      <c r="D70" s="70" t="s">
        <v>385</v>
      </c>
      <c r="E70" s="99" t="str">
        <f aca="false">IF($C70="Yes",VLOOKUP($A70,Questions!$A$2:$X$333,17,0)&amp;"",IF($C70="No",VLOOKUP($A70,Questions!$A$2:$X$333,16,0)&amp;"",VLOOKUP($A70,Questions!$A$2:$X$333,15,0)&amp;""))</f>
        <v>Explain why not</v>
      </c>
      <c r="F70" s="100" t="str">
        <f aca="false">VLOOKUP($A70,'Privacy Analyst Evaluation'!$A$46:$F$120,6,0)&amp;""</f>
        <v/>
      </c>
      <c r="H70" s="5"/>
    </row>
    <row r="71" s="1" customFormat="true" ht="25.5" hidden="false" customHeight="true" outlineLevel="0" collapsed="false">
      <c r="A71" s="35" t="s">
        <v>386</v>
      </c>
      <c r="B71" s="45" t="str">
        <f aca="false">VLOOKUP($A71,Questions!$A$2:$X$333,2,0)</f>
        <v>Will data be collected from or processed in or stored in China?</v>
      </c>
      <c r="C71" s="46" t="s">
        <v>26</v>
      </c>
      <c r="D71" s="70" t="s">
        <v>385</v>
      </c>
      <c r="E71" s="99" t="str">
        <f aca="false">IF($C71="Yes",VLOOKUP($A71,Questions!$A$2:$X$333,17,0)&amp;"",IF($C71="No",VLOOKUP($A71,Questions!$A$2:$X$333,16,0)&amp;"",VLOOKUP($A71,Questions!$A$2:$X$333,15,0)&amp;""))</f>
        <v>See PIPL Chapter 1 for definitions.</v>
      </c>
      <c r="F71" s="100" t="str">
        <f aca="false">VLOOKUP($A71,'Privacy Analyst Evaluation'!$A$46:$F$120,6,0)&amp;""</f>
        <v/>
      </c>
      <c r="H71" s="5"/>
    </row>
    <row r="72" s="1" customFormat="true" ht="43.5" hidden="false" customHeight="true" outlineLevel="0" collapsed="false">
      <c r="A72" s="35" t="s">
        <v>387</v>
      </c>
      <c r="B72" s="45" t="str">
        <f aca="false">VLOOKUP($A72,Questions!$A$2:$X$333,2,0)</f>
        <v>Do you comply with PIPL security, privacy, and data localization requirements?</v>
      </c>
      <c r="C72" s="46" t="s">
        <v>26</v>
      </c>
      <c r="D72" s="70" t="s">
        <v>16</v>
      </c>
      <c r="E72" s="99" t="str">
        <f aca="false">IF($C72="Yes",VLOOKUP($A72,Questions!$A$2:$X$333,17,0)&amp;"",IF($C72="No",VLOOKUP($A72,Questions!$A$2:$X$333,16,0)&amp;"",IF($C72="N/A",VLOOKUP($A72,Questions!$A$2:$X$333,18,0)&amp;"",VLOOKUP($A72,Questions!$A$2:$X$333,15,0)&amp;"")))</f>
        <v>Explain why not</v>
      </c>
      <c r="F72" s="100" t="str">
        <f aca="false">VLOOKUP($A72,'Privacy Analyst Evaluation'!$A$46:$F$120,6,0)&amp;""</f>
        <v/>
      </c>
      <c r="G72" s="51" t="s">
        <v>37</v>
      </c>
      <c r="H72" s="5"/>
    </row>
    <row r="73" s="1" customFormat="true" ht="36.75" hidden="false" customHeight="true" outlineLevel="0" collapsed="false">
      <c r="A73" s="31" t="str">
        <f aca="false">VLOOKUP(LEFT($A74,4),'Auto Responses'!$N$4:$O$38,2,0)&amp;""</f>
        <v> Data Privacy</v>
      </c>
      <c r="B73" s="42"/>
      <c r="C73" s="19" t="s">
        <v>21</v>
      </c>
      <c r="D73" s="19" t="s">
        <v>22</v>
      </c>
      <c r="E73" s="43" t="s">
        <v>23</v>
      </c>
      <c r="F73" s="90" t="s">
        <v>24</v>
      </c>
      <c r="H73" s="5"/>
    </row>
    <row r="74" s="1" customFormat="true" ht="39.75" hidden="false" customHeight="true" outlineLevel="0" collapsed="false">
      <c r="A74" s="35" t="s">
        <v>388</v>
      </c>
      <c r="B74" s="45" t="str">
        <f aca="false">VLOOKUP($A74,Questions!$A$2:$X$333,2,0)</f>
        <v>Have you performed a Data Privacy Impact Assesssment for the solution/project?</v>
      </c>
      <c r="C74" s="46" t="s">
        <v>26</v>
      </c>
      <c r="D74" s="70" t="s">
        <v>16</v>
      </c>
      <c r="E74" s="99" t="str">
        <f aca="false">IF($C74="Yes",VLOOKUP($A74,Questions!$A$2:$X$333,17,0)&amp;"",IF($C74="No",VLOOKUP($A74,Questions!$A$2:$X$333,16,0)&amp;"",VLOOKUP($A74,Questions!$A$2:$X$333,15,0)&amp;""))</f>
        <v>Provide timeline for this or reason not to perform.</v>
      </c>
      <c r="F74" s="100" t="str">
        <f aca="false">VLOOKUP($A74,'Privacy Analyst Evaluation'!$A$46:$F$120,6,0)&amp;""</f>
        <v/>
      </c>
      <c r="H74" s="5"/>
    </row>
    <row r="75" s="1" customFormat="true" ht="54.75" hidden="false" customHeight="true" outlineLevel="0" collapsed="false">
      <c r="A75" s="35" t="s">
        <v>389</v>
      </c>
      <c r="B75" s="45" t="str">
        <f aca="false">VLOOKUP($A75,Questions!$A$2:$X$333,2,0)</f>
        <v>Do you provide an end-user privacy notice about privacy policies and procedures that identify the purpose(s) for which personal information is collected, used, retained, and disclosed?</v>
      </c>
      <c r="C75" s="46" t="s">
        <v>26</v>
      </c>
      <c r="D75" s="70" t="s">
        <v>16</v>
      </c>
      <c r="E75" s="99" t="str">
        <f aca="false">IF($C75="Yes",VLOOKUP($A75,Questions!$A$2:$X$333,17,0)&amp;"",IF($C75="No",VLOOKUP($A75,Questions!$A$2:$X$333,16,0)&amp;"",VLOOKUP($A75,Questions!$A$2:$X$333,15,0)&amp;""))</f>
        <v>Explain why not</v>
      </c>
      <c r="F75" s="100" t="str">
        <f aca="false">VLOOKUP($A75,'Privacy Analyst Evaluation'!$A$46:$F$120,6,0)&amp;""</f>
        <v/>
      </c>
      <c r="H75" s="5"/>
    </row>
    <row r="76" s="1" customFormat="true" ht="54" hidden="false" customHeight="true" outlineLevel="0" collapsed="false">
      <c r="A76" s="35" t="s">
        <v>390</v>
      </c>
      <c r="B76" s="45" t="str">
        <f aca="false">VLOOKUP($A76,Questions!$A$2:$X$333,2,0)</f>
        <v>Do you describe the choices available to the individual and obtain implicit or explicit consent with respect to the collection, use, and disclosure of personal information?</v>
      </c>
      <c r="C76" s="46" t="s">
        <v>26</v>
      </c>
      <c r="D76" s="70" t="s">
        <v>16</v>
      </c>
      <c r="E76" s="99" t="str">
        <f aca="false">IF($C76="Yes",VLOOKUP($A76,Questions!$A$2:$X$333,17,0)&amp;"",IF($C76="No",VLOOKUP($A76,Questions!$A$2:$X$333,16,0)&amp;"",IF($C76="N/A",VLOOKUP($A76,Questions!$A$2:$X$333,18,0)&amp;"",VLOOKUP($A76,Questions!$A$2:$X$333,15,0)&amp;"")))</f>
        <v>Explain why not</v>
      </c>
      <c r="F76" s="100" t="str">
        <f aca="false">VLOOKUP($A76,'Privacy Analyst Evaluation'!$A$46:$F$120,6,0)&amp;""</f>
        <v/>
      </c>
      <c r="H76" s="5"/>
    </row>
    <row r="77" s="1" customFormat="true" ht="57" hidden="false" customHeight="true" outlineLevel="0" collapsed="false">
      <c r="A77" s="35" t="s">
        <v>391</v>
      </c>
      <c r="B77" s="45" t="str">
        <f aca="false">VLOOKUP($A77,Questions!$A$2:$X$333,2,0)</f>
        <v>Do you collect personal information only for the purpose(s) identified in the agreement with an institution or, if there is none, the purpose(s) identified in the privacy notice?</v>
      </c>
      <c r="C77" s="46" t="s">
        <v>26</v>
      </c>
      <c r="D77" s="70" t="s">
        <v>16</v>
      </c>
      <c r="E77" s="99" t="str">
        <f aca="false">IF($C77="Yes",VLOOKUP($A77,Questions!$A$2:$X$333,17,0)&amp;"",IF($C77="No",VLOOKUP($A77,Questions!$A$2:$X$333,16,0)&amp;"",IF($C77="N/A",VLOOKUP($A77,Questions!$A$2:$X$333,18,0)&amp;"",VLOOKUP($A77,Questions!$A$2:$X$333,15,0)&amp;"")))</f>
        <v>Explain why not</v>
      </c>
      <c r="F77" s="100" t="str">
        <f aca="false">VLOOKUP($A77,'Privacy Analyst Evaluation'!$A$46:$F$120,6,0)&amp;""</f>
        <v/>
      </c>
      <c r="H77" s="5"/>
    </row>
    <row r="78" s="1" customFormat="true" ht="36" hidden="false" customHeight="true" outlineLevel="0" collapsed="false">
      <c r="A78" s="35" t="s">
        <v>392</v>
      </c>
      <c r="B78" s="45" t="str">
        <f aca="false">VLOOKUP($A78,Questions!$A$2:$X$333,2,0)</f>
        <v>Do you have a documented list of personal data your service maintains?</v>
      </c>
      <c r="C78" s="46" t="s">
        <v>26</v>
      </c>
      <c r="D78" s="70" t="s">
        <v>16</v>
      </c>
      <c r="E78" s="99" t="str">
        <f aca="false">IF($C78="Yes",VLOOKUP($A78,Questions!$A$2:$X$333,17,0)&amp;"",IF($C78="No",VLOOKUP($A78,Questions!$A$2:$X$333,16,0)&amp;"",IF($C78="N/A",VLOOKUP($A78,Questions!$A$2:$X$333,18,0)&amp;"",VLOOKUP($A78,Questions!$A$2:$X$333,15,0)&amp;"")))</f>
        <v>Explain why not</v>
      </c>
      <c r="F78" s="100" t="str">
        <f aca="false">VLOOKUP($A78,'Privacy Analyst Evaluation'!$A$46:$F$120,6,0)&amp;""</f>
        <v/>
      </c>
      <c r="H78" s="5"/>
    </row>
    <row r="79" s="1" customFormat="true" ht="57.75" hidden="false" customHeight="true" outlineLevel="0" collapsed="false">
      <c r="A79" s="35" t="s">
        <v>393</v>
      </c>
      <c r="B79" s="45" t="str">
        <f aca="false">VLOOKUP($A79,Questions!$A$2:$X$333,2,0)</f>
        <v>Do you retain personal information for only as long as necessary to fulfill the stated purpose(s) or as required by law or regulation and thereafter appropriately dispose of such information?</v>
      </c>
      <c r="C79" s="46" t="s">
        <v>26</v>
      </c>
      <c r="D79" s="70" t="s">
        <v>16</v>
      </c>
      <c r="E79" s="99" t="str">
        <f aca="false">IF($C79="Yes",VLOOKUP($A79,Questions!$A$2:$X$333,17,0)&amp;"",IF($C79="No",VLOOKUP($A79,Questions!$A$2:$X$333,16,0)&amp;"",IF($C79="N/A",VLOOKUP($A79,Questions!$A$2:$X$333,18,0)&amp;"",VLOOKUP($A79,Questions!$A$2:$X$333,15,0)&amp;"")))</f>
        <v>Briefly outline data retention policies that do not align with regulations.</v>
      </c>
      <c r="F79" s="100" t="str">
        <f aca="false">VLOOKUP($A79,'Privacy Analyst Evaluation'!$A$46:$F$120,6,0)&amp;""</f>
        <v/>
      </c>
      <c r="H79" s="5"/>
    </row>
    <row r="80" s="1" customFormat="true" ht="44.25" hidden="false" customHeight="true" outlineLevel="0" collapsed="false">
      <c r="A80" s="35" t="s">
        <v>394</v>
      </c>
      <c r="B80" s="45" t="str">
        <f aca="false">VLOOKUP($A80,Questions!$A$2:$X$333,2,0)</f>
        <v>Do you provide individuals with access to their personal information for review and update (i.e., data subject rights)?</v>
      </c>
      <c r="C80" s="46" t="s">
        <v>26</v>
      </c>
      <c r="D80" s="70" t="s">
        <v>16</v>
      </c>
      <c r="E80" s="99" t="str">
        <f aca="false">IF($C80="Yes",VLOOKUP($A80,Questions!$A$2:$X$333,17,0)&amp;"",IF($C80="No",VLOOKUP($A80,Questions!$A$2:$X$333,16,0)&amp;"",IF($C80="N/A",VLOOKUP($A80,Questions!$A$2:$X$333,18,0)&amp;"",VLOOKUP($A80,Questions!$A$2:$X$333,15,0)&amp;"")))</f>
        <v>Such processes would include descriptions of request processes individuals can follow to review thier information and written processes a data subject may use to ask for changes or corrections to data held about them.</v>
      </c>
      <c r="F80" s="100" t="str">
        <f aca="false">VLOOKUP($A80,'Privacy Analyst Evaluation'!$A$46:$F$120,6,0)&amp;""</f>
        <v/>
      </c>
      <c r="H80" s="5"/>
    </row>
    <row r="81" s="1" customFormat="true" ht="70.5" hidden="false" customHeight="true" outlineLevel="0" collapsed="false">
      <c r="A81" s="35" t="s">
        <v>395</v>
      </c>
      <c r="B81" s="45" t="str">
        <f aca="false">VLOOKUP($A81,Questions!$A$2:$X$333,2,0)</f>
        <v>Do you disclose personal information to third parties only for the purpose(s) identified in the privacy notice or with the implicit or explicit consent of the individual?</v>
      </c>
      <c r="C81" s="46" t="s">
        <v>26</v>
      </c>
      <c r="D81" s="70" t="s">
        <v>16</v>
      </c>
      <c r="E81" s="99" t="str">
        <f aca="false">IF($C81="Yes",VLOOKUP($A81,Questions!$A$2:$X$333,17,0)&amp;"",IF($C81="No",VLOOKUP($A81,Questions!$A$2:$X$333,16,0)&amp;"",IF($C81="N/A",VLOOKUP($A81,Questions!$A$2:$X$333,18,0)&amp;"",VLOOKUP($A81,Questions!$A$2:$X$333,15,0)&amp;"")))</f>
        <v/>
      </c>
      <c r="F81" s="100" t="str">
        <f aca="false">VLOOKUP($A81,'Privacy Analyst Evaluation'!$A$46:$F$120,6,0)&amp;""</f>
        <v/>
      </c>
      <c r="H81" s="5"/>
    </row>
    <row r="82" s="1" customFormat="true" ht="40.5" hidden="false" customHeight="true" outlineLevel="0" collapsed="false">
      <c r="A82" s="35" t="s">
        <v>396</v>
      </c>
      <c r="B82" s="45" t="str">
        <f aca="false">VLOOKUP($A82,Questions!$A$2:$X$333,2,0)</f>
        <v>Do you protect personal information against unauthorized access (both physical and logical)?</v>
      </c>
      <c r="C82" s="46" t="s">
        <v>26</v>
      </c>
      <c r="D82" s="70" t="s">
        <v>16</v>
      </c>
      <c r="E82" s="99" t="str">
        <f aca="false">IF($C82="Yes",VLOOKUP($A82,Questions!$A$2:$X$333,17,0)&amp;"",IF($C82="No",VLOOKUP($A82,Questions!$A$2:$X$333,16,0)&amp;"",IF($C82="N/A",VLOOKUP($A82,Questions!$A$2:$X$333,18,0)&amp;"",VLOOKUP($A82,Questions!$A$2:$X$333,15,0)&amp;"")))</f>
        <v/>
      </c>
      <c r="F82" s="100" t="str">
        <f aca="false">VLOOKUP($A82,'Privacy Analyst Evaluation'!$A$46:$F$120,6,0)&amp;""</f>
        <v/>
      </c>
      <c r="H82" s="5"/>
    </row>
    <row r="83" s="1" customFormat="true" ht="49.5" hidden="false" customHeight="true" outlineLevel="0" collapsed="false">
      <c r="A83" s="35" t="s">
        <v>397</v>
      </c>
      <c r="B83" s="45" t="str">
        <f aca="false">VLOOKUP($A83,Questions!$A$2:$X$333,2,0)</f>
        <v>Do you maintain accurate, complete, and relevant personal information for the purposes identified in the privacy notice?</v>
      </c>
      <c r="C83" s="46" t="s">
        <v>26</v>
      </c>
      <c r="D83" s="70" t="s">
        <v>16</v>
      </c>
      <c r="E83" s="99" t="str">
        <f aca="false">IF($C83="Yes",VLOOKUP($A83,Questions!$A$2:$X$333,17,0)&amp;"",IF($C83="No",VLOOKUP($A83,Questions!$A$2:$X$333,16,0)&amp;"",IF($C83="N/A",VLOOKUP($A83,Questions!$A$2:$X$333,18,0)&amp;"",VLOOKUP($A83,Questions!$A$2:$X$333,15,0)&amp;"")))</f>
        <v/>
      </c>
      <c r="F83" s="100" t="str">
        <f aca="false">VLOOKUP($A83,'Privacy Analyst Evaluation'!$A$46:$F$120,6,0)&amp;""</f>
        <v/>
      </c>
      <c r="H83" s="5"/>
    </row>
    <row r="84" s="1" customFormat="true" ht="46.5" hidden="false" customHeight="true" outlineLevel="0" collapsed="false">
      <c r="A84" s="35" t="s">
        <v>398</v>
      </c>
      <c r="B84" s="45" t="str">
        <f aca="false">VLOOKUP($A84,Questions!$A$2:$X$333,2,0)</f>
        <v>Do you have procedures to address privacy-related noncompliance complaints and disputes?</v>
      </c>
      <c r="C84" s="46" t="s">
        <v>26</v>
      </c>
      <c r="D84" s="70" t="s">
        <v>16</v>
      </c>
      <c r="E84" s="99" t="str">
        <f aca="false">IF($C84="Yes",VLOOKUP($A84,Questions!$A$2:$X$333,17,0)&amp;"",IF($C84="No",VLOOKUP($A84,Questions!$A$2:$X$333,16,0)&amp;"",IF($C84="N/A",VLOOKUP($A84,Questions!$A$2:$X$333,18,0)&amp;"",VLOOKUP($A84,Questions!$A$2:$X$333,15,0)&amp;"")))</f>
        <v/>
      </c>
      <c r="F84" s="100" t="str">
        <f aca="false">VLOOKUP($A84,'Privacy Analyst Evaluation'!$A$46:$F$120,6,0)&amp;""</f>
        <v/>
      </c>
      <c r="H84" s="5"/>
    </row>
    <row r="85" s="1" customFormat="true" ht="45" hidden="false" customHeight="true" outlineLevel="0" collapsed="false">
      <c r="A85" s="35" t="s">
        <v>399</v>
      </c>
      <c r="B85" s="45" t="str">
        <f aca="false">VLOOKUP($A85,Questions!$A$2:$X$333,2,0)</f>
        <v>Do you "anonymize," "de-identify," or otherwise mask personal data?</v>
      </c>
      <c r="C85" s="46" t="s">
        <v>26</v>
      </c>
      <c r="D85" s="70" t="s">
        <v>16</v>
      </c>
      <c r="E85" s="99" t="str">
        <f aca="false">IF($C85="Yes",VLOOKUP($A85,Questions!$A$2:$X$333,17,0)&amp;"",IF($C85="No",VLOOKUP($A85,Questions!$A$2:$X$333,16,0)&amp;"",IF($C85="N/A",VLOOKUP($A85,Questions!$A$2:$X$333,18,0)&amp;"",VLOOKUP($A85,Questions!$A$2:$X$333,15,0)&amp;"")))</f>
        <v/>
      </c>
      <c r="F85" s="100" t="str">
        <f aca="false">VLOOKUP($A85,'Privacy Analyst Evaluation'!$A$46:$F$120,6,0)&amp;""</f>
        <v/>
      </c>
      <c r="H85" s="5"/>
    </row>
    <row r="86" s="1" customFormat="true" ht="93" hidden="false" customHeight="true" outlineLevel="0" collapsed="false">
      <c r="A86" s="35" t="s">
        <v>400</v>
      </c>
      <c r="B86" s="45" t="str">
        <f aca="false">VLOOKUP($A86,Questions!$A$2:$X$333,2,0)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86" s="46" t="s">
        <v>26</v>
      </c>
      <c r="D86" s="70" t="s">
        <v>16</v>
      </c>
      <c r="E86" s="99" t="str">
        <f aca="false">IF($C86="Yes",VLOOKUP($A86,Questions!$A$2:$X$333,17,0)&amp;"",IF($C86="No",VLOOKUP($A86,Questions!$A$2:$X$333,16,0)&amp;"",IF($C86="N/A",VLOOKUP($A86,Questions!$A$2:$X$333,18,0)&amp;"",VLOOKUP($A86,Questions!$A$2:$X$333,15,0)&amp;"")))</f>
        <v/>
      </c>
      <c r="F86" s="100" t="str">
        <f aca="false">VLOOKUP($A86,'Privacy Analyst Evaluation'!$A$46:$F$120,6,0)&amp;""</f>
        <v/>
      </c>
      <c r="H86" s="5"/>
    </row>
    <row r="87" s="1" customFormat="true" ht="48" hidden="false" customHeight="true" outlineLevel="0" collapsed="false">
      <c r="A87" s="35" t="s">
        <v>401</v>
      </c>
      <c r="B87" s="45" t="str">
        <f aca="false">VLOOKUP($A87,Questions!$A$2:$X$333,2,0)</f>
        <v>Do you certify stop-processing requests, including any data that is processed by a third party on your behalf?</v>
      </c>
      <c r="C87" s="46" t="s">
        <v>26</v>
      </c>
      <c r="D87" s="70" t="s">
        <v>16</v>
      </c>
      <c r="E87" s="99" t="str">
        <f aca="false">IF($C87="Yes",VLOOKUP($A87,Questions!$A$2:$X$333,17,0)&amp;"",IF($C87="No",VLOOKUP($A87,Questions!$A$2:$X$333,16,0)&amp;"",IF($C87="N/A",VLOOKUP($A87,Questions!$A$2:$X$333,18,0)&amp;"",VLOOKUP($A87,Questions!$A$2:$X$333,15,0)&amp;"")))</f>
        <v>Provide evidence of existing processes or policies. The internal privacy policy should explain your organization's policies and practices regarding the collection of personal information and other data about individuals.</v>
      </c>
      <c r="F87" s="100" t="str">
        <f aca="false">VLOOKUP($A87,'Privacy Analyst Evaluation'!$A$46:$F$120,6,0)&amp;""</f>
        <v/>
      </c>
      <c r="H87" s="5"/>
    </row>
    <row r="88" s="1" customFormat="true" ht="36.75" hidden="false" customHeight="true" outlineLevel="0" collapsed="false">
      <c r="A88" s="35" t="s">
        <v>402</v>
      </c>
      <c r="B88" s="45" t="str">
        <f aca="false">VLOOKUP($A88,Questions!$A$2:$X$333,2,0)</f>
        <v>Do you have a process to review code for ethical considerations?</v>
      </c>
      <c r="C88" s="46" t="s">
        <v>26</v>
      </c>
      <c r="D88" s="70" t="s">
        <v>16</v>
      </c>
      <c r="E88" s="99" t="str">
        <f aca="false">IF($C88="Yes",VLOOKUP($A88,Questions!$A$2:$X$333,17,0)&amp;"",IF($C88="No",VLOOKUP($A88,Questions!$A$2:$X$333,16,0)&amp;"",VLOOKUP($A88,Questions!$A$2:$X$333,15,0)&amp;""))</f>
        <v/>
      </c>
      <c r="F88" s="100" t="str">
        <f aca="false">VLOOKUP($A88,'Privacy Analyst Evaluation'!$A$46:$F$120,6,0)&amp;""</f>
        <v/>
      </c>
      <c r="G88" s="51" t="s">
        <v>37</v>
      </c>
      <c r="H88" s="5"/>
    </row>
    <row r="89" s="1" customFormat="true" ht="36.75" hidden="false" customHeight="true" outlineLevel="0" collapsed="false">
      <c r="A89" s="31" t="str">
        <f aca="false">VLOOKUP(LEFT($A90,4),'Auto Responses'!$N$4:$O$38,2,0)&amp;""</f>
        <v> Privacy and AI</v>
      </c>
      <c r="B89" s="42"/>
      <c r="C89" s="19" t="s">
        <v>21</v>
      </c>
      <c r="D89" s="19" t="s">
        <v>22</v>
      </c>
      <c r="E89" s="43" t="s">
        <v>23</v>
      </c>
      <c r="F89" s="90" t="s">
        <v>24</v>
      </c>
      <c r="H89" s="5"/>
    </row>
    <row r="90" s="1" customFormat="true" ht="61.15" hidden="false" customHeight="false" outlineLevel="0" collapsed="false">
      <c r="A90" s="35" t="s">
        <v>403</v>
      </c>
      <c r="B90" s="45" t="str">
        <f aca="false">VLOOKUP($A90,Questions!$A$2:$X$333,2,0)</f>
        <v>Does your service use AI for the processing of institutional data?</v>
      </c>
      <c r="C90" s="46"/>
      <c r="D90" s="70"/>
      <c r="E90" s="99" t="str">
        <f aca="false">IF($C$19="No",'Auto Responses'!$A$6,IF($C90="Yes",VLOOKUP($A90,Questions!$A$2:$X$333,17,0)&amp;"",IF($C90="No",VLOOKUP($A90,Questions!$A$2:$X$333,16,0)&amp;"",VLOOKUP($A90,Questions!$A$2:$X$333,15,0)&amp;"")))</f>
        <v>Based on the response to REQU-04 on the "START HERE" tab, this question does not apply to this product or service.</v>
      </c>
      <c r="F90" s="100" t="str">
        <f aca="false">VLOOKUP($A90,'Privacy Analyst Evaluation'!$A$46:$F$120,6,0)&amp;""</f>
        <v/>
      </c>
      <c r="H90" s="5"/>
    </row>
    <row r="91" s="1" customFormat="true" ht="61.15" hidden="false" customHeight="false" outlineLevel="0" collapsed="false">
      <c r="A91" s="35" t="s">
        <v>404</v>
      </c>
      <c r="B91" s="45" t="str">
        <f aca="false">VLOOKUP($A91,Questions!$A$2:$X$333,2,0)</f>
        <v>Is any institutional data retained in AI processing?*</v>
      </c>
      <c r="C91" s="46"/>
      <c r="D91" s="70"/>
      <c r="E91" s="99" t="str">
        <f aca="false">IF($C$19="No",'Auto Responses'!$A$6,IF($C91="Yes",VLOOKUP($A91,Questions!$A$2:$X$333,17,0)&amp;"",IF($C91="No",VLOOKUP($A91,Questions!$A$2:$X$333,16,0)&amp;"",IF($C91="N/A",VLOOKUP($A91,Questions!$A$2:$X$333,18,0)&amp;"",VLOOKUP($A91,Questions!$A$2:$X$333,15,0)&amp;""))))</f>
        <v>Based on the response to REQU-04 on the "START HERE" tab, this question does not apply to this product or service.</v>
      </c>
      <c r="F91" s="100" t="str">
        <f aca="false">VLOOKUP($A91,'Privacy Analyst Evaluation'!$A$46:$F$120,6,0)&amp;""</f>
        <v/>
      </c>
      <c r="H91" s="5"/>
    </row>
    <row r="92" s="1" customFormat="true" ht="55.5" hidden="false" customHeight="true" outlineLevel="0" collapsed="false">
      <c r="A92" s="35" t="s">
        <v>405</v>
      </c>
      <c r="B92" s="45" t="str">
        <f aca="false">VLOOKUP($A92,Questions!$A$2:$X$333,2,0)</f>
        <v>Do you have agreements in place with third parties or subprocessors regarding the protection of customer data and use of AI?*</v>
      </c>
      <c r="C92" s="46"/>
      <c r="D92" s="70"/>
      <c r="E92" s="99" t="str">
        <f aca="false">IF($C$19="No",'Auto Responses'!$A$6,IF($C92="Yes",VLOOKUP($A92,Questions!$A$2:$X$333,17,0)&amp;"",IF($C92="No",VLOOKUP($A92,Questions!$A$2:$X$333,16,0)&amp;"",IF($C92="N/A",VLOOKUP($A92,Questions!$A$2:$X$333,18,0)&amp;"",VLOOKUP($A92,Questions!$A$2:$X$333,15,0)&amp;""))))</f>
        <v>Based on the response to REQU-04 on the "START HERE" tab, this question does not apply to this product or service.</v>
      </c>
      <c r="F92" s="100" t="str">
        <f aca="false">VLOOKUP($A92,'Privacy Analyst Evaluation'!$A$46:$F$120,6,0)&amp;""</f>
        <v/>
      </c>
      <c r="H92" s="5"/>
    </row>
    <row r="93" customFormat="false" ht="32.25" hidden="false" customHeight="true" outlineLevel="0" collapsed="false">
      <c r="A93" s="35" t="s">
        <v>406</v>
      </c>
      <c r="B93" s="45" t="str">
        <f aca="false">VLOOKUP($A93,Questions!$A$2:$X$333,2,0)</f>
        <v>Will institutional data be processed through a third party or subprocessor that also uses AI?</v>
      </c>
      <c r="C93" s="46"/>
      <c r="D93" s="70"/>
      <c r="E93" s="99" t="str">
        <f aca="false">IF($C$19="No",'Auto Responses'!$A$6,IF($C93="Yes",VLOOKUP($A93,Questions!$A$2:$X$333,17,0)&amp;"",IF($C93="No",VLOOKUP($A93,Questions!$A$2:$X$333,16,0)&amp;"",VLOOKUP($A93,Questions!$A$2:$X$333,15,0)&amp;"")))</f>
        <v>Based on the response to REQU-04 on the "START HERE" tab, this question does not apply to this product or service.</v>
      </c>
      <c r="F93" s="100" t="str">
        <f aca="false">VLOOKUP($A93,'Privacy Analyst Evaluation'!$A$46:$F$120,6,0)&amp;""</f>
        <v/>
      </c>
    </row>
    <row r="94" customFormat="false" ht="32.25" hidden="false" customHeight="true" outlineLevel="0" collapsed="false">
      <c r="A94" s="35" t="s">
        <v>407</v>
      </c>
      <c r="B94" s="45" t="str">
        <f aca="false">VLOOKUP($A94,Questions!$A$2:$X$333,2,0)</f>
        <v>Is AI processing limited to fully licensed commercial enterprise AI services?</v>
      </c>
      <c r="C94" s="46"/>
      <c r="D94" s="70"/>
      <c r="E94" s="99" t="str">
        <f aca="false">IF($C$19="No",'Auto Responses'!$A$6,IF($C94="Yes",VLOOKUP($A94,Questions!$A$2:$X$333,17,0)&amp;"",IF($C94="No",VLOOKUP($A94,Questions!$A$2:$X$333,16,0)&amp;"",IF($C94="N/A",VLOOKUP($A94,Questions!$A$2:$X$333,18,0)&amp;"",VLOOKUP($A94,Questions!$A$2:$X$333,15,0)&amp;""))))</f>
        <v>Based on the response to REQU-04 on the "START HERE" tab, this question does not apply to this product or service.</v>
      </c>
      <c r="F94" s="100" t="str">
        <f aca="false">VLOOKUP($A94,'Privacy Analyst Evaluation'!$A$46:$F$120,6,0)&amp;""</f>
        <v/>
      </c>
    </row>
    <row r="95" s="1" customFormat="true" ht="32.25" hidden="false" customHeight="true" outlineLevel="0" collapsed="false">
      <c r="A95" s="35" t="s">
        <v>408</v>
      </c>
      <c r="B95" s="45" t="str">
        <f aca="false">VLOOKUP($A95,Questions!$A$2:$X$333,2,0)</f>
        <v>Will institutional data be used or processed by any shared AI services?</v>
      </c>
      <c r="C95" s="46"/>
      <c r="D95" s="70"/>
      <c r="E95" s="99" t="str">
        <f aca="false">IF($C$19="No",'Auto Responses'!$A$6,IF($C95="Yes",VLOOKUP($A95,Questions!$A$2:$X$333,17,0)&amp;"",IF($C95="No",VLOOKUP($A95,Questions!$A$2:$X$333,16,0)&amp;"",VLOOKUP($A95,Questions!$A$2:$X$333,15,0)&amp;"")))</f>
        <v>Based on the response to REQU-04 on the "START HERE" tab, this question does not apply to this product or service.</v>
      </c>
      <c r="F95" s="100" t="str">
        <f aca="false">VLOOKUP($A95,'Privacy Analyst Evaluation'!$A$46:$F$120,6,0)&amp;""</f>
        <v/>
      </c>
      <c r="H95" s="5"/>
    </row>
    <row r="96" s="1" customFormat="true" ht="32.25" hidden="false" customHeight="true" outlineLevel="0" collapsed="false">
      <c r="A96" s="35" t="s">
        <v>409</v>
      </c>
      <c r="B96" s="45" t="str">
        <f aca="false">VLOOKUP($A96,Questions!$A$2:$X$333,2,0)</f>
        <v>Do you have safeguards in place to protect institutional data and data privacy from unintended AI queries or processing?</v>
      </c>
      <c r="C96" s="46"/>
      <c r="D96" s="70"/>
      <c r="E96" s="99" t="str">
        <f aca="false">IF($C$19="No",'Auto Responses'!$A$6,IF($C96="Yes",VLOOKUP($A96,Questions!$A$2:$X$333,17,0)&amp;"",IF($C96="No",VLOOKUP($A96,Questions!$A$2:$X$333,16,0)&amp;"",VLOOKUP($A96,Questions!$A$2:$X$333,15,0)&amp;"")))</f>
        <v>Based on the response to REQU-04 on the "START HERE" tab, this question does not apply to this product or service.</v>
      </c>
      <c r="F96" s="100" t="str">
        <f aca="false">VLOOKUP($A96,'Privacy Analyst Evaluation'!$A$46:$F$120,6,0)&amp;""</f>
        <v/>
      </c>
      <c r="H96" s="5"/>
    </row>
    <row r="97" s="1" customFormat="true" ht="55.5" hidden="false" customHeight="true" outlineLevel="0" collapsed="false">
      <c r="A97" s="35" t="s">
        <v>410</v>
      </c>
      <c r="B97" s="45" t="str">
        <f aca="false">VLOOKUP($A97,Questions!$A$2:$X$333,2,0)</f>
        <v>Do you provide choice to the user to opt out of AI use?</v>
      </c>
      <c r="C97" s="46"/>
      <c r="D97" s="70"/>
      <c r="E97" s="99" t="str">
        <f aca="false">IF($C$19="No",'Auto Responses'!$A$6,IF($C97="Yes",VLOOKUP($A97,Questions!$A$2:$X$333,17,0)&amp;"",IF($C97="No",VLOOKUP($A97,Questions!$A$2:$X$333,16,0)&amp;"",IF($C97="N/A",VLOOKUP($A97,Questions!$A$2:$X$333,18,0)&amp;"",VLOOKUP($A97,Questions!$A$2:$X$333,15,0)&amp;""))))</f>
        <v>Based on the response to REQU-04 on the "START HERE" tab, this question does not apply to this product or service.</v>
      </c>
      <c r="F97" s="100" t="str">
        <f aca="false">VLOOKUP($A97,'Privacy Analyst Evaluation'!$A$46:$F$120,6,0)&amp;""</f>
        <v/>
      </c>
      <c r="G97" s="51" t="s">
        <v>37</v>
      </c>
      <c r="H97" s="5"/>
    </row>
    <row r="98" s="1" customFormat="true" ht="44.25" hidden="false" customHeight="true" outlineLevel="0" collapsed="false">
      <c r="A98" s="61" t="s">
        <v>50</v>
      </c>
      <c r="C98" s="2"/>
      <c r="D98" s="3"/>
      <c r="E98" s="92"/>
      <c r="F98" s="93"/>
      <c r="H98" s="5"/>
    </row>
    <row r="99" s="1" customFormat="true" ht="15" hidden="true" customHeight="true" outlineLevel="0" collapsed="false">
      <c r="C99" s="2"/>
      <c r="D99" s="3"/>
      <c r="E99" s="92"/>
      <c r="F99" s="93"/>
      <c r="H99" s="5"/>
    </row>
    <row r="100" s="1" customFormat="true" ht="15" hidden="true" customHeight="true" outlineLevel="0" collapsed="false">
      <c r="B100" s="2"/>
      <c r="C100" s="76"/>
      <c r="D100" s="4"/>
      <c r="E100" s="61"/>
      <c r="F100" s="93"/>
      <c r="G100" s="5"/>
    </row>
    <row r="101" s="1" customFormat="true" ht="16.4" hidden="true" customHeight="false" outlineLevel="0" collapsed="false">
      <c r="A101" s="35" t="e">
        <f aca="false">#REF!</f>
        <v>#REF!</v>
      </c>
      <c r="C101" s="2"/>
      <c r="D101" s="3"/>
      <c r="E101" s="92"/>
      <c r="F101" s="93"/>
      <c r="H101" s="5"/>
    </row>
    <row r="102" s="1" customFormat="true" ht="16.4" hidden="true" customHeight="false" outlineLevel="0" collapsed="false">
      <c r="A102" s="35" t="e">
        <f aca="false">#REF!</f>
        <v>#REF!</v>
      </c>
      <c r="C102" s="2"/>
      <c r="D102" s="3"/>
      <c r="E102" s="92"/>
      <c r="F102" s="93"/>
      <c r="H102" s="5"/>
    </row>
    <row r="103" s="1" customFormat="true" ht="16.4" hidden="true" customHeight="false" outlineLevel="0" collapsed="false">
      <c r="A103" s="35" t="e">
        <f aca="false">#REF!</f>
        <v>#REF!</v>
      </c>
      <c r="C103" s="2"/>
      <c r="D103" s="3"/>
      <c r="E103" s="92"/>
      <c r="F103" s="93"/>
      <c r="H103" s="5"/>
    </row>
    <row r="104" s="1" customFormat="true" ht="16.4" hidden="true" customHeight="false" outlineLevel="0" collapsed="false">
      <c r="A104" s="35" t="e">
        <f aca="false">#REF!</f>
        <v>#REF!</v>
      </c>
      <c r="C104" s="2"/>
      <c r="D104" s="3"/>
      <c r="E104" s="92"/>
      <c r="F104" s="93"/>
      <c r="H104" s="5"/>
    </row>
    <row r="105" s="1" customFormat="true" ht="16.4" hidden="true" customHeight="false" outlineLevel="0" collapsed="false">
      <c r="A105" s="35" t="e">
        <f aca="false">#REF!</f>
        <v>#REF!</v>
      </c>
      <c r="C105" s="2"/>
      <c r="D105" s="3"/>
      <c r="E105" s="92"/>
      <c r="F105" s="93"/>
      <c r="H105" s="5"/>
    </row>
    <row r="106" s="1" customFormat="true" ht="16.4" hidden="true" customHeight="false" outlineLevel="0" collapsed="false">
      <c r="A106" s="35" t="e">
        <f aca="false">#REF!</f>
        <v>#REF!</v>
      </c>
      <c r="C106" s="2"/>
      <c r="D106" s="3"/>
      <c r="E106" s="92"/>
      <c r="F106" s="93"/>
      <c r="H106" s="5"/>
    </row>
    <row r="107" s="1" customFormat="true" ht="16.4" hidden="true" customHeight="false" outlineLevel="0" collapsed="false">
      <c r="A107" s="35" t="e">
        <f aca="false">#REF!</f>
        <v>#REF!</v>
      </c>
      <c r="C107" s="2"/>
      <c r="D107" s="3"/>
      <c r="E107" s="92"/>
      <c r="F107" s="93"/>
      <c r="H107" s="5"/>
    </row>
    <row r="108" s="1" customFormat="true" ht="12.8" hidden="true" customHeight="false" outlineLevel="0" collapsed="false">
      <c r="C108" s="2"/>
      <c r="D108" s="3"/>
      <c r="E108" s="92"/>
      <c r="F108" s="93"/>
      <c r="H108" s="5"/>
    </row>
    <row r="109" s="1" customFormat="true" ht="12.8" hidden="true" customHeight="false" outlineLevel="0" collapsed="false">
      <c r="C109" s="2"/>
      <c r="D109" s="3"/>
      <c r="E109" s="92"/>
      <c r="F109" s="93"/>
      <c r="H109" s="5"/>
    </row>
    <row r="110" s="1" customFormat="true" ht="12.8" hidden="true" customHeight="false" outlineLevel="0" collapsed="false">
      <c r="C110" s="2"/>
      <c r="D110" s="3"/>
      <c r="E110" s="92"/>
      <c r="F110" s="93"/>
      <c r="H110" s="5"/>
    </row>
    <row r="111" customFormat="false" ht="12.8" hidden="true" customHeight="false" outlineLevel="0" collapsed="false">
      <c r="A111" s="1"/>
    </row>
    <row r="112" customFormat="false" ht="12.8" hidden="true" customHeight="false" outlineLevel="0" collapsed="false">
      <c r="A112" s="1"/>
    </row>
    <row r="113" customFormat="false" ht="12.8" hidden="true" customHeight="false" outlineLevel="0" collapsed="false">
      <c r="A113" s="1"/>
    </row>
    <row r="114" customFormat="false" ht="12.8" hidden="true" customHeight="false" outlineLevel="0" collapsed="false">
      <c r="A114" s="1"/>
    </row>
    <row r="115" customFormat="false" ht="12.8" hidden="true" customHeight="false" outlineLevel="0" collapsed="false">
      <c r="A115" s="1"/>
    </row>
    <row r="116" customFormat="false" ht="12.8" hidden="true" customHeight="false" outlineLevel="0" collapsed="false">
      <c r="A116" s="1"/>
    </row>
    <row r="117" customFormat="false" ht="12.8" hidden="true" customHeight="false" outlineLevel="0" collapsed="false">
      <c r="A117" s="1"/>
    </row>
  </sheetData>
  <dataValidations count="6">
    <dataValidation allowBlank="true" errorStyle="stop" operator="between" prompt="The HECVAT is built using a number of complex formulas. Editing this cell can break the functionality of the tool. " promptTitle="Warning!" showDropDown="false" showErrorMessage="true" showInputMessage="true" sqref="B2:F2 A3:B98 D3:F3 C4:F12 C18:F18 E19:F22 C23:F23 E24:F28 C29:F29 E30:F33 C34:F34 E35:F37 C38:F38 E39:F40 C41:F41 E42:F43 C44:F44 E45:F52 C53:F53 E54:F66 C67:F67 E68:F72 C73:F73 E74:F88 C89:F89 E90:F98" type="none">
      <formula1>0</formula1>
      <formula2>0</formula2>
    </dataValidation>
    <dataValidation allowBlank="true" errorStyle="stop" operator="between" prompt="This answer has been populated from the &quot;START HERE&quot; tab and does not need to be re-entered." showDropDown="false" showErrorMessage="true" showInputMessage="true" sqref="C3 C13:C17 C19:C22" type="none">
      <formula1>0</formula1>
      <formula2>0</formula2>
    </dataValidation>
    <dataValidation allowBlank="true" errorStyle="stop" operator="between" prompt="This cell should be left blank. Input your answer in column C." showDropDown="false" showErrorMessage="true" showInputMessage="true" sqref="D28 D31" type="none">
      <formula1>0</formula1>
      <formula2>0</formula2>
    </dataValidation>
    <dataValidation allowBlank="true" errorStyle="stop" operator="between" showDropDown="false" showErrorMessage="true" showInputMessage="true" sqref="C55:C66 C68:C72 C74:C88 C90:C97" type="list">
      <formula1>'Auto Responses'!$J$3:$J$4</formula1>
      <formula2>0</formula2>
    </dataValidation>
    <dataValidation allowBlank="true" errorStyle="stop" operator="between" showDropDown="false" showErrorMessage="true" showInputMessage="true" sqref="C24:C27 C30 C32:C33 C36:C37 C39:C40 C42:C43 C45:C52 C54" type="list">
      <formula1>'Auto Responses'!$J$3:$J$4</formula1>
      <formula2>0</formula2>
    </dataValidation>
    <dataValidation allowBlank="true" errorStyle="stop" operator="between" showDropDown="false" showErrorMessage="true" showInputMessage="true" sqref="C35" type="list">
      <formula1>'Auto Responses'!$J$3:$J$5</formula1>
      <formula2>0</formula2>
    </dataValidation>
  </dataValidations>
  <hyperlinks>
    <hyperlink ref="A11" r:id="rId1" display="http://www.educause.edu/HECVAT"/>
  </hyperlinks>
  <printOptions headings="false" gridLines="false" gridLinesSet="true" horizontalCentered="false" verticalCentered="false"/>
  <pageMargins left="0.75" right="0.75" top="1" bottom="1"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&amp;L&amp;"Arial,Regular"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0B233"/>
    <pageSetUpPr fitToPage="false"/>
  </sheetPr>
  <dimension ref="A1:N364"/>
  <sheetViews>
    <sheetView showFormulas="false" showGridLines="false" showRowColHeaders="true" showZeros="false" rightToLeft="false" tabSelected="false" showOutlineSymbols="true" defaultGridColor="true" view="normal" topLeftCell="A123" colorId="64" zoomScale="95" zoomScaleNormal="95" zoomScalePageLayoutView="100" workbookViewId="0">
      <selection pane="topLeft" activeCell="C128" activeCellId="0" sqref="C128"/>
    </sheetView>
  </sheetViews>
  <sheetFormatPr defaultColWidth="8.50390625" defaultRowHeight="12.8" customHeight="true" zeroHeight="true" outlineLevelRow="0" outlineLevelCol="0"/>
  <cols>
    <col collapsed="false" customWidth="true" hidden="false" outlineLevel="0" max="1" min="1" style="101" width="18.8"/>
    <col collapsed="false" customWidth="true" hidden="false" outlineLevel="0" max="2" min="2" style="101" width="57.6"/>
    <col collapsed="false" customWidth="true" hidden="false" outlineLevel="0" max="9" min="3" style="101" width="19.6"/>
    <col collapsed="false" customWidth="true" hidden="false" outlineLevel="0" max="10" min="10" style="101" width="18.8"/>
    <col collapsed="false" customWidth="true" hidden="false" outlineLevel="0" max="11" min="11" style="101" width="0.2"/>
    <col collapsed="false" customWidth="false" hidden="false" outlineLevel="0" max="12" min="12" style="101" width="8.5"/>
    <col collapsed="false" customWidth="true" hidden="true" outlineLevel="0" max="13" min="13" style="101" width="9.34"/>
    <col collapsed="false" customWidth="false" hidden="true" outlineLevel="0" max="16384" min="14" style="101" width="8.5"/>
  </cols>
  <sheetData>
    <row r="1" customFormat="false" ht="99.95" hidden="true" customHeight="false" outlineLevel="0" collapsed="false">
      <c r="A1" s="101" t="s">
        <v>411</v>
      </c>
    </row>
    <row r="2" customFormat="false" ht="36" hidden="false" customHeight="true" outlineLevel="0" collapsed="false">
      <c r="A2" s="102" t="s">
        <v>412</v>
      </c>
      <c r="B2" s="103"/>
      <c r="C2" s="103"/>
      <c r="D2" s="103"/>
      <c r="E2" s="103"/>
      <c r="F2" s="103"/>
      <c r="G2" s="103"/>
      <c r="H2" s="103"/>
      <c r="I2" s="104" t="str">
        <f aca="false">'Auto Responses'!$A$36</f>
        <v>Version 4.1.2</v>
      </c>
      <c r="J2" s="105"/>
    </row>
    <row r="3" customFormat="false" ht="25.5" hidden="false" customHeight="true" outlineLevel="0" collapsed="false">
      <c r="A3" s="106"/>
      <c r="B3" s="106"/>
      <c r="C3" s="106"/>
      <c r="D3" s="106"/>
      <c r="E3" s="106"/>
      <c r="F3" s="106"/>
      <c r="G3" s="106"/>
      <c r="H3" s="106"/>
      <c r="I3" s="106"/>
      <c r="J3" s="106"/>
    </row>
    <row r="4" customFormat="false" ht="36" hidden="false" customHeight="true" outlineLevel="0" collapsed="false">
      <c r="A4" s="107" t="s">
        <v>413</v>
      </c>
      <c r="B4" s="108"/>
      <c r="C4" s="108"/>
      <c r="D4" s="108"/>
      <c r="E4" s="108"/>
      <c r="F4" s="108"/>
      <c r="G4" s="108"/>
      <c r="H4" s="108"/>
      <c r="I4" s="108"/>
      <c r="J4" s="108"/>
    </row>
    <row r="5" s="110" customFormat="true" ht="19.5" hidden="false" customHeight="true" outlineLevel="0" collapsed="false">
      <c r="A5" s="109" t="str">
        <f aca="false">HLOOKUP($A$4,'Auto Responses'!$F$2:$F$7,2,0)&amp;""</f>
        <v>1. Upon initial review, you can check the "Non-Negotiable" box by any question to compile a report of questions that may prohibit a full review.</v>
      </c>
      <c r="B5" s="109"/>
      <c r="C5" s="109"/>
      <c r="D5" s="109"/>
      <c r="E5" s="109"/>
      <c r="F5" s="109"/>
      <c r="G5" s="109"/>
      <c r="H5" s="109"/>
      <c r="I5" s="109"/>
      <c r="J5" s="109"/>
    </row>
    <row r="6" s="110" customFormat="true" ht="19.5" hidden="false" customHeight="true" outlineLevel="0" collapsed="false">
      <c r="A6" s="109" t="str">
        <f aca="false">HLOOKUP($A$4,'Auto Responses'!$F$2:$F$7,3,0)&amp;""</f>
        <v>2. When evaluating an answer, a default importance level has been set. You can use the "Importance Override" dropdown to override the default and adjust the value of the question.</v>
      </c>
      <c r="B6" s="109"/>
      <c r="C6" s="109"/>
      <c r="D6" s="109"/>
      <c r="E6" s="109"/>
      <c r="F6" s="109"/>
      <c r="G6" s="109"/>
      <c r="H6" s="109"/>
      <c r="I6" s="109"/>
      <c r="J6" s="109"/>
    </row>
    <row r="7" s="110" customFormat="true" ht="19.5" hidden="false" customHeight="true" outlineLevel="0" collapsed="false">
      <c r="A7" s="109" t="str">
        <f aca="false">HLOOKUP($A$4,'Auto Responses'!$F$2:$F$7,4,0)&amp;""</f>
        <v>3. For questions that are qualitative or for which you disagree with the preferred response, make a selection in the "Compliant Override" dropdown to adjust the question's impact on the score.</v>
      </c>
      <c r="B7" s="109"/>
      <c r="C7" s="109"/>
      <c r="D7" s="109"/>
      <c r="E7" s="109"/>
      <c r="F7" s="109"/>
      <c r="G7" s="109"/>
      <c r="H7" s="109"/>
      <c r="I7" s="109"/>
      <c r="J7" s="109"/>
    </row>
    <row r="8" s="110" customFormat="true" ht="19.5" hidden="false" customHeight="true" outlineLevel="0" collapsed="false">
      <c r="A8" s="109" t="str">
        <f aca="false">HLOOKUP($A$4,'Auto Responses'!$F$2:$F$7,5,0)&amp;""</f>
        <v>4. Each worksheet shows a report for that section. See the "Analyst Report" sheet for a full report of all sections. </v>
      </c>
      <c r="B8" s="109"/>
      <c r="C8" s="109"/>
      <c r="D8" s="109"/>
      <c r="E8" s="109"/>
      <c r="F8" s="109"/>
      <c r="G8" s="109"/>
      <c r="H8" s="109"/>
      <c r="I8" s="109"/>
      <c r="J8" s="109"/>
    </row>
    <row r="9" s="110" customFormat="true" ht="19.5" hidden="false" customHeight="true" outlineLevel="0" collapsed="false">
      <c r="A9" s="109" t="str">
        <f aca="false">HLOOKUP($A$4,'Auto Responses'!$F$2:$F$7,6,0)&amp;""</f>
        <v>5. If you are evaluating a question that appears in an earlier section, the Importance and Compliant Override cannot be changed but additional notes can be added. </v>
      </c>
      <c r="B9" s="109"/>
      <c r="C9" s="109"/>
      <c r="D9" s="109"/>
      <c r="E9" s="109"/>
      <c r="F9" s="109"/>
      <c r="G9" s="109"/>
      <c r="H9" s="109"/>
      <c r="I9" s="109"/>
      <c r="J9" s="109"/>
    </row>
    <row r="10" customFormat="false" ht="19.5" hidden="false" customHeight="true" outlineLevel="0" collapsed="false">
      <c r="A10" s="111" t="str">
        <f aca="false">HLOOKUP($A$4,'Auto Responses'!$F$2:$F$8,7,0)&amp;""</f>
        <v>For full instructions, please visit EDUCAUSE.edu/HECVAT</v>
      </c>
      <c r="B10" s="112"/>
      <c r="C10" s="112"/>
      <c r="D10" s="112"/>
      <c r="E10" s="112"/>
      <c r="F10" s="112"/>
      <c r="G10" s="112"/>
      <c r="H10" s="112"/>
      <c r="I10" s="112"/>
      <c r="J10" s="112"/>
    </row>
    <row r="11" s="121" customFormat="true" ht="25.5" hidden="false" customHeight="true" outlineLevel="0" collapsed="false">
      <c r="A11" s="113" t="str">
        <f aca="false">'START HERE'!$B$13</f>
        <v>Solution Provider Name</v>
      </c>
      <c r="B11" s="114"/>
      <c r="C11" s="115" t="str">
        <f aca="false">VLOOKUP($A11,'START HERE'!$B$13:$C$21,2,0)&amp;""</f>
        <v>QGIS.org</v>
      </c>
      <c r="D11" s="116"/>
      <c r="E11" s="117"/>
      <c r="F11" s="118"/>
      <c r="G11" s="119"/>
      <c r="H11" s="120"/>
      <c r="I11" s="119"/>
      <c r="J11" s="119"/>
    </row>
    <row r="12" s="121" customFormat="true" ht="25.5" hidden="false" customHeight="true" outlineLevel="0" collapsed="false">
      <c r="A12" s="122" t="str">
        <f aca="false">'START HERE'!$B$16</f>
        <v>Solution Provider Contact Name</v>
      </c>
      <c r="B12" s="123"/>
      <c r="C12" s="124" t="str">
        <f aca="false">VLOOKUP($A12,'START HERE'!$B$13:$C$21,2,0)&amp;""</f>
        <v>Program Steering Commitee (PSC)</v>
      </c>
      <c r="D12" s="125"/>
      <c r="E12" s="126"/>
      <c r="F12" s="118"/>
      <c r="G12" s="119"/>
      <c r="H12" s="120"/>
      <c r="I12" s="119"/>
      <c r="J12" s="119"/>
    </row>
    <row r="13" s="121" customFormat="true" ht="25.5" hidden="false" customHeight="true" outlineLevel="0" collapsed="false">
      <c r="A13" s="122" t="str">
        <f aca="false">'START HERE'!$B$17</f>
        <v>Solution Provider Contact Title</v>
      </c>
      <c r="B13" s="123"/>
      <c r="C13" s="124" t="str">
        <f aca="false">VLOOKUP($A13,'START HERE'!$B$13:$C$21,2,0)&amp;""</f>
        <v>PSC</v>
      </c>
      <c r="D13" s="125"/>
      <c r="E13" s="126"/>
      <c r="F13" s="118"/>
      <c r="G13" s="119"/>
      <c r="H13" s="120"/>
      <c r="I13" s="119"/>
      <c r="J13" s="119"/>
    </row>
    <row r="14" s="121" customFormat="true" ht="25.5" hidden="false" customHeight="true" outlineLevel="0" collapsed="false">
      <c r="A14" s="122" t="str">
        <f aca="false">'START HERE'!$B$18</f>
        <v>Solution Provider Contact Email</v>
      </c>
      <c r="B14" s="123"/>
      <c r="C14" s="124" t="str">
        <f aca="false">VLOOKUP($A14,'START HERE'!$B$13:$C$21,2,0)&amp;""</f>
        <v>qgis-psc@lists.osgeo.org.</v>
      </c>
      <c r="D14" s="125"/>
      <c r="E14" s="126"/>
      <c r="F14" s="127"/>
    </row>
    <row r="15" s="121" customFormat="true" ht="25.5" hidden="false" customHeight="true" outlineLevel="0" collapsed="false">
      <c r="A15" s="122" t="str">
        <f aca="false">'START HERE'!$B$14</f>
        <v>Solution Name</v>
      </c>
      <c r="B15" s="123"/>
      <c r="C15" s="124" t="str">
        <f aca="false">VLOOKUP($A15,'START HERE'!$B$13:$C$21,2,0)&amp;""</f>
        <v>QGIS.org</v>
      </c>
      <c r="D15" s="125"/>
      <c r="E15" s="126"/>
      <c r="F15" s="127"/>
    </row>
    <row r="16" s="121" customFormat="true" ht="25.5" hidden="false" customHeight="true" outlineLevel="0" collapsed="false">
      <c r="A16" s="122" t="str">
        <f aca="false">'START HERE'!$B$15</f>
        <v>Solution Description</v>
      </c>
      <c r="B16" s="123"/>
      <c r="C16" s="124" t="str">
        <f aca="false">VLOOKUP($A16,'START HERE'!$B$13:$C$21,2,0)&amp;""</f>
        <v>QGIS is a free and open source Geographic information system, running on Windows, MacOS, Linux and with solution for mobile OS.</v>
      </c>
      <c r="D16" s="125"/>
      <c r="E16" s="126"/>
      <c r="F16" s="127"/>
    </row>
    <row r="17" s="121" customFormat="true" ht="25.5" hidden="false" customHeight="true" outlineLevel="0" collapsed="false">
      <c r="A17" s="128" t="s">
        <v>414</v>
      </c>
      <c r="B17" s="129"/>
      <c r="C17" s="130" t="n">
        <f aca="false">'START HERE'!$C$3</f>
        <v>0</v>
      </c>
      <c r="D17" s="131"/>
      <c r="E17" s="132"/>
      <c r="F17" s="127"/>
    </row>
    <row r="18" s="121" customFormat="true" ht="24.75" hidden="false" customHeight="true" outlineLevel="0" collapsed="false">
      <c r="A18" s="119"/>
      <c r="B18" s="119"/>
      <c r="C18" s="133"/>
      <c r="D18" s="134"/>
      <c r="E18" s="119"/>
      <c r="F18" s="119"/>
      <c r="G18" s="119"/>
      <c r="H18" s="120"/>
      <c r="I18" s="120"/>
      <c r="J18" s="120"/>
    </row>
    <row r="19" s="137" customFormat="true" ht="24" hidden="false" customHeight="true" outlineLevel="0" collapsed="false">
      <c r="A19" s="135"/>
      <c r="B19" s="135"/>
      <c r="C19" s="135"/>
      <c r="D19" s="135"/>
      <c r="E19" s="136"/>
      <c r="F19" s="136"/>
      <c r="G19" s="136"/>
      <c r="H19" s="136"/>
      <c r="I19" s="136"/>
      <c r="J19" s="136"/>
      <c r="K19" s="136"/>
      <c r="L19" s="136"/>
      <c r="M19" s="136"/>
      <c r="N19" s="136"/>
    </row>
    <row r="20" s="137" customFormat="true" ht="30" hidden="false" customHeight="true" outlineLevel="0" collapsed="false">
      <c r="A20" s="138" t="s">
        <v>415</v>
      </c>
      <c r="B20" s="139" t="s">
        <v>416</v>
      </c>
      <c r="C20" s="140" t="s">
        <v>417</v>
      </c>
      <c r="D20" s="141" t="s">
        <v>418</v>
      </c>
      <c r="E20" s="142" t="s">
        <v>419</v>
      </c>
      <c r="F20" s="142" t="s">
        <v>420</v>
      </c>
      <c r="G20" s="143" t="s">
        <v>421</v>
      </c>
      <c r="H20" s="144"/>
      <c r="I20" s="145"/>
      <c r="J20" s="101"/>
      <c r="K20" s="101"/>
      <c r="L20" s="101"/>
      <c r="M20" s="101"/>
      <c r="N20" s="101"/>
    </row>
    <row r="21" s="137" customFormat="true" ht="40.5" hidden="false" customHeight="true" outlineLevel="0" collapsed="false">
      <c r="B21" s="146" t="str">
        <f aca="false">VLOOKUP($K21,'Auto Responses'!$N$4:$O$38,2,0)&amp;""</f>
        <v> Company Information</v>
      </c>
      <c r="C21" s="147" t="b">
        <f aca="false">TRUE()</f>
        <v>1</v>
      </c>
      <c r="D21" s="148" t="n">
        <f aca="false">IF($C21=TRUE(),SUMIF('(backend scoring)'!$B$3:$B$333,$K21,'(backend scoring)'!$O$3:$O$333),"")</f>
        <v>30</v>
      </c>
      <c r="E21" s="149" t="n">
        <f aca="false">IF($C21=TRUE(),SUMIF('(backend scoring)'!$B$3:$B$333,$K21,'(backend scoring)'!$P$3:$P$333),"")</f>
        <v>10</v>
      </c>
      <c r="F21" s="150" t="n">
        <f aca="false">IFERROR($E21/$D21,"N/A")</f>
        <v>0.333333333333333</v>
      </c>
      <c r="G21" s="151" t="str">
        <f aca="false">"Jump to "&amp;B21</f>
        <v>Jump to  Company Information</v>
      </c>
      <c r="H21" s="152"/>
      <c r="I21" s="153"/>
      <c r="K21" s="137" t="s">
        <v>422</v>
      </c>
    </row>
    <row r="22" s="137" customFormat="true" ht="40.5" hidden="false" customHeight="true" outlineLevel="0" collapsed="false">
      <c r="A22" s="154"/>
      <c r="B22" s="146" t="str">
        <f aca="false">VLOOKUP($K22,'Auto Responses'!$N$4:$O$38,2,0)&amp;""</f>
        <v> Documentation</v>
      </c>
      <c r="C22" s="147" t="b">
        <f aca="false">TRUE()</f>
        <v>1</v>
      </c>
      <c r="D22" s="148" t="n">
        <f aca="false">IF($C22=TRUE(),SUMIF('(backend scoring)'!$B$3:$B$333,$K22,'(backend scoring)'!$O$3:$O$333),"")</f>
        <v>90</v>
      </c>
      <c r="E22" s="149" t="n">
        <f aca="false">IF($C22=TRUE(),SUMIF('(backend scoring)'!$B$3:$B$333,$K22,'(backend scoring)'!$P$3:$P$333),"")</f>
        <v>20</v>
      </c>
      <c r="F22" s="155" t="n">
        <f aca="false">IFERROR($E22/$D22,"N/A")</f>
        <v>0.222222222222222</v>
      </c>
      <c r="G22" s="156" t="str">
        <f aca="false">"Jump to "&amp;B22</f>
        <v>Jump to  Documentation</v>
      </c>
      <c r="H22" s="157"/>
      <c r="I22" s="158"/>
      <c r="K22" s="137" t="s">
        <v>423</v>
      </c>
    </row>
    <row r="23" s="137" customFormat="true" ht="40.5" hidden="false" customHeight="true" outlineLevel="0" collapsed="false">
      <c r="A23" s="154"/>
      <c r="B23" s="146" t="str">
        <f aca="false">VLOOKUP($K23,'Auto Responses'!$N$4:$O$38,2,0)&amp;""</f>
        <v> Assessment of Third Parties</v>
      </c>
      <c r="C23" s="147" t="b">
        <f aca="false">TRUE()</f>
        <v>1</v>
      </c>
      <c r="D23" s="148" t="n">
        <f aca="false">IF($C23=TRUE(),SUMIF('(backend scoring)'!$B$3:$B$333,$K23,'(backend scoring)'!$O$3:$O$333),"")</f>
        <v>90</v>
      </c>
      <c r="E23" s="149" t="n">
        <f aca="false">IF($C23=TRUE(),SUMIF('(backend scoring)'!$B$3:$B$333,$K23,'(backend scoring)'!$P$3:$P$333),"")</f>
        <v>0</v>
      </c>
      <c r="F23" s="155" t="n">
        <f aca="false">IFERROR($E23/$D23,"N/A")</f>
        <v>0</v>
      </c>
      <c r="G23" s="156" t="str">
        <f aca="false">"Jump to "&amp;B23</f>
        <v>Jump to  Assessment of Third Parties</v>
      </c>
      <c r="H23" s="157"/>
      <c r="I23" s="158"/>
      <c r="K23" s="137" t="s">
        <v>424</v>
      </c>
    </row>
    <row r="24" s="137" customFormat="true" ht="40.5" hidden="false" customHeight="true" outlineLevel="0" collapsed="false">
      <c r="B24" s="146" t="str">
        <f aca="false">VLOOKUP($K24,'Auto Responses'!$N$4:$O$38,2,0)&amp;""</f>
        <v> Change Management</v>
      </c>
      <c r="C24" s="147" t="b">
        <f aca="false">TRUE()</f>
        <v>1</v>
      </c>
      <c r="D24" s="148" t="n">
        <f aca="false">IF($C24=TRUE(),SUMIF('(backend scoring)'!$B$3:$B$333,$K24,'(backend scoring)'!$O$3:$O$333),"")</f>
        <v>150</v>
      </c>
      <c r="E24" s="149" t="n">
        <f aca="false">IF($C24=TRUE(),SUMIF('(backend scoring)'!$B$3:$B$333,$K24,'(backend scoring)'!$P$3:$P$333),"")</f>
        <v>55</v>
      </c>
      <c r="F24" s="155" t="n">
        <f aca="false">IFERROR($E24/$D24,"N/A")</f>
        <v>0.366666666666667</v>
      </c>
      <c r="G24" s="156" t="str">
        <f aca="false">"Jump to "&amp;B24</f>
        <v>Jump to  Change Management</v>
      </c>
      <c r="H24" s="157"/>
      <c r="I24" s="158"/>
      <c r="K24" s="137" t="s">
        <v>425</v>
      </c>
    </row>
    <row r="25" s="137" customFormat="true" ht="40.5" hidden="false" customHeight="true" outlineLevel="0" collapsed="false">
      <c r="B25" s="146" t="str">
        <f aca="false">VLOOKUP($K25,'Auto Responses'!$N$4:$O$38,2,0)&amp;""</f>
        <v> Policies, Processes, and Procedures</v>
      </c>
      <c r="C25" s="147" t="b">
        <f aca="false">TRUE()</f>
        <v>1</v>
      </c>
      <c r="D25" s="148" t="n">
        <f aca="false">IF($C25=TRUE(),SUMIF('(backend scoring)'!$B$3:$B$333,$K25,'(backend scoring)'!$O$3:$O$333),"")</f>
        <v>145</v>
      </c>
      <c r="E25" s="149" t="n">
        <f aca="false">IF($C25=TRUE(),SUMIF('(backend scoring)'!$B$3:$B$333,$K25,'(backend scoring)'!$P$3:$P$333),"")</f>
        <v>95</v>
      </c>
      <c r="F25" s="155" t="n">
        <f aca="false">IFERROR($E25/$D25,"N/A")</f>
        <v>0.655172413793103</v>
      </c>
      <c r="G25" s="156" t="str">
        <f aca="false">"Jump to "&amp;B25</f>
        <v>Jump to  Policies, Processes, and Procedures</v>
      </c>
      <c r="H25" s="157"/>
      <c r="I25" s="158"/>
      <c r="K25" s="137" t="s">
        <v>426</v>
      </c>
    </row>
    <row r="26" s="137" customFormat="true" ht="40.5" hidden="false" customHeight="true" outlineLevel="0" collapsed="false">
      <c r="B26" s="146" t="str">
        <f aca="false">VLOOKUP($K26,'Auto Responses'!$N$4:$O$38,2,0)&amp;""</f>
        <v> Authentication, Authorization, and Account Management</v>
      </c>
      <c r="C26" s="147" t="b">
        <f aca="false">TRUE()</f>
        <v>1</v>
      </c>
      <c r="D26" s="148" t="n">
        <f aca="false">IF($C26=TRUE(),SUMIF('(backend scoring)'!$B$3:$B$333,$K26,'(backend scoring)'!$O$3:$O$333),"")</f>
        <v>250</v>
      </c>
      <c r="E26" s="149" t="n">
        <f aca="false">IF($C26=TRUE(),SUMIF('(backend scoring)'!$B$3:$B$333,$K26,'(backend scoring)'!$P$3:$P$333),"")</f>
        <v>0</v>
      </c>
      <c r="F26" s="155" t="n">
        <f aca="false">IFERROR($E26/$D26,"N/A")</f>
        <v>0</v>
      </c>
      <c r="G26" s="156" t="str">
        <f aca="false">"Jump to "&amp;B26</f>
        <v>Jump to  Authentication, Authorization, and Account Management</v>
      </c>
      <c r="H26" s="157"/>
      <c r="I26" s="158"/>
      <c r="K26" s="137" t="s">
        <v>427</v>
      </c>
    </row>
    <row r="27" s="137" customFormat="true" ht="40.5" hidden="false" customHeight="true" outlineLevel="0" collapsed="false">
      <c r="B27" s="146" t="str">
        <f aca="false">VLOOKUP($K27,'Auto Responses'!$N$4:$O$38,2,0)&amp;""</f>
        <v> Data</v>
      </c>
      <c r="C27" s="147" t="b">
        <f aca="false">TRUE()</f>
        <v>1</v>
      </c>
      <c r="D27" s="148" t="n">
        <f aca="false">IF($C27=TRUE(),SUMIF('(backend scoring)'!$B$3:$B$333,$K27,'(backend scoring)'!$O$3:$O$333),"")</f>
        <v>280</v>
      </c>
      <c r="E27" s="149" t="n">
        <f aca="false">IF($C27=TRUE(),SUMIF('(backend scoring)'!$B$3:$B$333,$K27,'(backend scoring)'!$P$3:$P$333),"")</f>
        <v>0</v>
      </c>
      <c r="F27" s="155" t="n">
        <f aca="false">IFERROR($E27/$D27,"N/A")</f>
        <v>0</v>
      </c>
      <c r="G27" s="156" t="str">
        <f aca="false">"Jump to "&amp;B27</f>
        <v>Jump to  Data</v>
      </c>
      <c r="H27" s="157"/>
      <c r="I27" s="158"/>
      <c r="K27" s="137" t="s">
        <v>428</v>
      </c>
    </row>
    <row r="28" s="137" customFormat="true" ht="40.5" hidden="false" customHeight="true" outlineLevel="0" collapsed="false">
      <c r="B28" s="146" t="str">
        <f aca="false">VLOOKUP($K28,'Auto Responses'!$N$4:$O$38,2,0)&amp;""</f>
        <v> Application/Service Security</v>
      </c>
      <c r="C28" s="147" t="b">
        <f aca="false">TRUE()</f>
        <v>1</v>
      </c>
      <c r="D28" s="148" t="n">
        <f aca="false">IF($C28=TRUE(),SUMIF('(backend scoring)'!$B$3:$B$333,$K28,'(backend scoring)'!$O$3:$O$333),"")</f>
        <v>0</v>
      </c>
      <c r="E28" s="149" t="n">
        <f aca="false">IF($C28=TRUE(),SUMIF('(backend scoring)'!$B$3:$B$333,$K28,'(backend scoring)'!$P$3:$P$333),"")</f>
        <v>0</v>
      </c>
      <c r="F28" s="155" t="str">
        <f aca="false">IFERROR($E28/$D28,"N/A")</f>
        <v>N/A</v>
      </c>
      <c r="G28" s="156" t="str">
        <f aca="false">"Jump to "&amp;B28</f>
        <v>Jump to  Application/Service Security</v>
      </c>
      <c r="H28" s="157"/>
      <c r="I28" s="158"/>
      <c r="K28" s="137" t="s">
        <v>429</v>
      </c>
    </row>
    <row r="29" s="137" customFormat="true" ht="40.5" hidden="false" customHeight="true" outlineLevel="0" collapsed="false">
      <c r="B29" s="146" t="str">
        <f aca="false">VLOOKUP($K29,'Auto Responses'!$N$4:$O$38,2,0)&amp;""</f>
        <v> Datacenter</v>
      </c>
      <c r="C29" s="147" t="b">
        <f aca="false">TRUE()</f>
        <v>1</v>
      </c>
      <c r="D29" s="148" t="n">
        <f aca="false">IF($C29=TRUE(),SUMIF('(backend scoring)'!$B$3:$B$333,$K29,'(backend scoring)'!$O$3:$O$333),"")</f>
        <v>0</v>
      </c>
      <c r="E29" s="149" t="n">
        <f aca="false">IF($C29=TRUE(),SUMIF('(backend scoring)'!$B$3:$B$333,$K29,'(backend scoring)'!$P$3:$P$333),"")</f>
        <v>0</v>
      </c>
      <c r="F29" s="155" t="str">
        <f aca="false">IFERROR($E29/$D29,"N/A")</f>
        <v>N/A</v>
      </c>
      <c r="G29" s="156" t="str">
        <f aca="false">"Jump to "&amp;B29</f>
        <v>Jump to  Datacenter</v>
      </c>
      <c r="H29" s="157"/>
      <c r="I29" s="158"/>
      <c r="K29" s="137" t="s">
        <v>430</v>
      </c>
    </row>
    <row r="30" s="137" customFormat="true" ht="40.5" hidden="false" customHeight="true" outlineLevel="0" collapsed="false">
      <c r="B30" s="146" t="str">
        <f aca="false">VLOOKUP($K30,'Auto Responses'!$N$4:$O$38,2,0)&amp;""</f>
        <v> Firewalls, IDS, IPS, and Networking</v>
      </c>
      <c r="C30" s="147" t="b">
        <f aca="false">TRUE()</f>
        <v>1</v>
      </c>
      <c r="D30" s="148" t="n">
        <f aca="false">IF($C30=TRUE(),SUMIF('(backend scoring)'!$B$3:$B$333,$K30,'(backend scoring)'!$O$3:$O$333),"")</f>
        <v>0</v>
      </c>
      <c r="E30" s="149" t="n">
        <f aca="false">IF($C30=TRUE(),SUMIF('(backend scoring)'!$B$3:$B$333,$K30,'(backend scoring)'!$P$3:$P$333),"")</f>
        <v>0</v>
      </c>
      <c r="F30" s="155" t="str">
        <f aca="false">IFERROR($E30/$D30,"N/A")</f>
        <v>N/A</v>
      </c>
      <c r="G30" s="156" t="str">
        <f aca="false">"Jump to "&amp;B30</f>
        <v>Jump to  Firewalls, IDS, IPS, and Networking</v>
      </c>
      <c r="H30" s="157"/>
      <c r="I30" s="158"/>
      <c r="K30" s="137" t="s">
        <v>431</v>
      </c>
    </row>
    <row r="31" s="137" customFormat="true" ht="40.5" hidden="false" customHeight="true" outlineLevel="0" collapsed="false">
      <c r="B31" s="146" t="str">
        <f aca="false">VLOOKUP($K31,'Auto Responses'!$N$4:$O$38,2,0)&amp;""</f>
        <v> Incident Handling</v>
      </c>
      <c r="C31" s="147" t="b">
        <f aca="false">TRUE()</f>
        <v>1</v>
      </c>
      <c r="D31" s="148" t="n">
        <f aca="false">IF($C31=TRUE(),SUMIF('(backend scoring)'!$B$3:$B$333,$K31,'(backend scoring)'!$O$3:$O$333),"")</f>
        <v>0</v>
      </c>
      <c r="E31" s="149" t="n">
        <f aca="false">IF($C31=TRUE(),SUMIF('(backend scoring)'!$B$3:$B$333,$K31,'(backend scoring)'!$P$3:$P$333),"")</f>
        <v>0</v>
      </c>
      <c r="F31" s="155" t="str">
        <f aca="false">IFERROR($E31/$D31,"N/A")</f>
        <v>N/A</v>
      </c>
      <c r="G31" s="156" t="str">
        <f aca="false">"Jump to "&amp;B31</f>
        <v>Jump to  Incident Handling</v>
      </c>
      <c r="H31" s="157"/>
      <c r="I31" s="158"/>
      <c r="K31" s="137" t="s">
        <v>432</v>
      </c>
    </row>
    <row r="32" s="137" customFormat="true" ht="40.5" hidden="false" customHeight="true" outlineLevel="0" collapsed="false">
      <c r="B32" s="146" t="str">
        <f aca="false">VLOOKUP($K32,'Auto Responses'!$N$4:$O$38,2,0)&amp;""</f>
        <v> Vulnerability Management</v>
      </c>
      <c r="C32" s="147" t="b">
        <f aca="false">TRUE()</f>
        <v>1</v>
      </c>
      <c r="D32" s="148" t="n">
        <f aca="false">IF($C32=TRUE(),SUMIF('(backend scoring)'!$B$3:$B$333,$K32,'(backend scoring)'!$O$3:$O$333),"")</f>
        <v>0</v>
      </c>
      <c r="E32" s="149" t="n">
        <f aca="false">IF($C32=TRUE(),SUMIF('(backend scoring)'!$B$3:$B$333,$K32,'(backend scoring)'!$P$3:$P$333),"")</f>
        <v>0</v>
      </c>
      <c r="F32" s="155" t="str">
        <f aca="false">IFERROR($E32/$D32,"N/A")</f>
        <v>N/A</v>
      </c>
      <c r="G32" s="156" t="str">
        <f aca="false">"Jump to "&amp;B32</f>
        <v>Jump to  Vulnerability Management</v>
      </c>
      <c r="H32" s="157"/>
      <c r="I32" s="158"/>
      <c r="K32" s="137" t="s">
        <v>433</v>
      </c>
    </row>
    <row r="33" s="137" customFormat="true" ht="40.5" hidden="false" customHeight="true" outlineLevel="0" collapsed="false">
      <c r="B33" s="146" t="str">
        <f aca="false">VLOOKUP($K33,'Auto Responses'!$N$4:$O$38,2,0)&amp;""</f>
        <v> Consulting Services</v>
      </c>
      <c r="C33" s="147" t="b">
        <f aca="false">TRUE()</f>
        <v>1</v>
      </c>
      <c r="D33" s="148" t="n">
        <f aca="false">IF($C33=TRUE(),SUMIF('(backend scoring)'!$B$3:$B$333,$K33,'(backend scoring)'!$O$3:$O$333),"")</f>
        <v>0</v>
      </c>
      <c r="E33" s="149" t="n">
        <f aca="false">IF($C33=TRUE(),SUMIF('(backend scoring)'!$B$3:$B$333,$K33,'(backend scoring)'!$P$3:$P$333),"")</f>
        <v>0</v>
      </c>
      <c r="F33" s="155" t="str">
        <f aca="false">IFERROR($E33/$D33,"N/A")</f>
        <v>N/A</v>
      </c>
      <c r="G33" s="156" t="str">
        <f aca="false">"Jump to "&amp;B33</f>
        <v>Jump to  Consulting Services</v>
      </c>
      <c r="H33" s="157"/>
      <c r="I33" s="158"/>
      <c r="K33" s="137" t="s">
        <v>434</v>
      </c>
    </row>
    <row r="34" customFormat="false" ht="40.5" hidden="false" customHeight="true" outlineLevel="0" collapsed="false">
      <c r="A34" s="137"/>
      <c r="B34" s="146" t="str">
        <f aca="false">VLOOKUP($K34,'Auto Responses'!$N$4:$O$38,2,0)&amp;""</f>
        <v>HIPAA Compliance </v>
      </c>
      <c r="C34" s="147" t="b">
        <f aca="false">TRUE()</f>
        <v>1</v>
      </c>
      <c r="D34" s="148" t="n">
        <f aca="false">IF($C34=TRUE(),SUMIF('(backend scoring)'!$B$3:$B$333,$K34,'(backend scoring)'!$O$3:$O$333),"")</f>
        <v>0</v>
      </c>
      <c r="E34" s="149" t="n">
        <f aca="false">IF($C34=TRUE(),SUMIF('(backend scoring)'!$B$3:$B$333,$K34,'(backend scoring)'!$P$3:$P$333),"")</f>
        <v>0</v>
      </c>
      <c r="F34" s="155" t="str">
        <f aca="false">IFERROR($E34/$D34,"N/A")</f>
        <v>N/A</v>
      </c>
      <c r="G34" s="156" t="str">
        <f aca="false">"Jump to "&amp;B34</f>
        <v>Jump to HIPAA Compliance </v>
      </c>
      <c r="H34" s="157"/>
      <c r="I34" s="158"/>
      <c r="J34" s="137"/>
      <c r="K34" s="137" t="s">
        <v>435</v>
      </c>
      <c r="L34" s="137"/>
      <c r="M34" s="137"/>
      <c r="N34" s="137"/>
    </row>
    <row r="35" customFormat="false" ht="40.5" hidden="false" customHeight="true" outlineLevel="0" collapsed="false">
      <c r="A35" s="137"/>
      <c r="B35" s="146" t="str">
        <f aca="false">VLOOKUP($K35,'Auto Responses'!$N$4:$O$38,2,0)&amp;""</f>
        <v> Payment Card Industry Data Security Standard (PCI DSS)</v>
      </c>
      <c r="C35" s="147" t="b">
        <f aca="false">TRUE()</f>
        <v>1</v>
      </c>
      <c r="D35" s="148" t="n">
        <f aca="false">IF($C35=TRUE(),SUMIF('(backend scoring)'!$B$3:$B$333,$K35,'(backend scoring)'!$O$3:$O$333),"")</f>
        <v>0</v>
      </c>
      <c r="E35" s="149" t="n">
        <f aca="false">IF($C35=TRUE(),SUMIF('(backend scoring)'!$B$3:$B$333,$K35,'(backend scoring)'!$P$3:$P$333),"")</f>
        <v>0</v>
      </c>
      <c r="F35" s="155" t="str">
        <f aca="false">IFERROR($E35/$D35,"N/A")</f>
        <v>N/A</v>
      </c>
      <c r="G35" s="156" t="str">
        <f aca="false">"Jump to "&amp;B35</f>
        <v>Jump to  Payment Card Industry Data Security Standard (PCI DSS)</v>
      </c>
      <c r="H35" s="157"/>
      <c r="I35" s="158"/>
      <c r="J35" s="137"/>
      <c r="K35" s="137" t="s">
        <v>436</v>
      </c>
      <c r="L35" s="137"/>
      <c r="M35" s="137"/>
      <c r="N35" s="137"/>
    </row>
    <row r="36" customFormat="false" ht="40.5" hidden="false" customHeight="true" outlineLevel="0" collapsed="false">
      <c r="A36" s="137"/>
      <c r="B36" s="146" t="str">
        <f aca="false">VLOOKUP($K36,'Auto Responses'!$N$4:$O$38,2,0)&amp;""</f>
        <v> On-Premises Data Solutions</v>
      </c>
      <c r="C36" s="147" t="b">
        <f aca="false">TRUE()</f>
        <v>1</v>
      </c>
      <c r="D36" s="148" t="n">
        <f aca="false">IF($C36=TRUE(),SUMIF('(backend scoring)'!$B$3:$B$333,$K36,'(backend scoring)'!$O$3:$O$333),"")</f>
        <v>0</v>
      </c>
      <c r="E36" s="149" t="n">
        <f aca="false">IF($C36=TRUE(),SUMIF('(backend scoring)'!$B$3:$B$333,$K36,'(backend scoring)'!$P$3:$P$333),"")</f>
        <v>0</v>
      </c>
      <c r="F36" s="155" t="str">
        <f aca="false">IFERROR($E36/$D36,"N/A")</f>
        <v>N/A</v>
      </c>
      <c r="G36" s="156" t="str">
        <f aca="false">"Jump to "&amp;B36</f>
        <v>Jump to  On-Premises Data Solutions</v>
      </c>
      <c r="H36" s="157"/>
      <c r="I36" s="158"/>
      <c r="J36" s="137"/>
      <c r="K36" s="137" t="s">
        <v>437</v>
      </c>
      <c r="L36" s="137"/>
      <c r="M36" s="137"/>
      <c r="N36" s="137"/>
    </row>
    <row r="37" s="60" customFormat="true" ht="40.5" hidden="false" customHeight="true" outlineLevel="0" collapsed="false">
      <c r="A37" s="137"/>
      <c r="B37" s="146" t="str">
        <f aca="false">VLOOKUP($K37,'Auto Responses'!$N$4:$O$38,2,0)&amp;""</f>
        <v> IT Accessibility</v>
      </c>
      <c r="C37" s="147" t="b">
        <f aca="false">TRUE()</f>
        <v>1</v>
      </c>
      <c r="D37" s="148" t="n">
        <f aca="false">IF($C37=TRUE(),SUMIF('(backend scoring)'!$B$3:$B$333,$K37,'(backend scoring)'!$O$3:$O$333),"")</f>
        <v>170</v>
      </c>
      <c r="E37" s="149" t="n">
        <f aca="false">IF($C37=TRUE(),SUMIF('(backend scoring)'!$B$3:$B$333,$K37,'(backend scoring)'!$P$3:$P$333),"")</f>
        <v>90</v>
      </c>
      <c r="F37" s="155" t="n">
        <f aca="false">IFERROR($E37/$D37,"N/A")</f>
        <v>0.529411764705882</v>
      </c>
      <c r="G37" s="156" t="str">
        <f aca="false">"Jump to "&amp;B37</f>
        <v>Jump to  IT Accessibility</v>
      </c>
      <c r="H37" s="157"/>
      <c r="I37" s="158"/>
      <c r="J37" s="137"/>
      <c r="K37" s="137" t="s">
        <v>438</v>
      </c>
      <c r="L37" s="137"/>
      <c r="M37" s="137"/>
      <c r="N37" s="137"/>
    </row>
    <row r="38" s="60" customFormat="true" ht="40.5" hidden="false" customHeight="true" outlineLevel="0" collapsed="false">
      <c r="A38" s="137"/>
      <c r="B38" s="146" t="s">
        <v>439</v>
      </c>
      <c r="C38" s="147" t="b">
        <f aca="false">TRUE()</f>
        <v>1</v>
      </c>
      <c r="D38" s="159" t="n">
        <f aca="false">IF($C38=TRUE(),SUMIF('(backend scoring)'!$E$3:$E$333,"AI",'(backend scoring)'!$O$3:$O$333),"")</f>
        <v>0</v>
      </c>
      <c r="E38" s="159" t="n">
        <f aca="false">IF($C38=TRUE(),SUMIF('(backend scoring)'!$E$3:$E$333,"AI",'(backend scoring)'!$P$3:$P$333),"")</f>
        <v>0</v>
      </c>
      <c r="F38" s="155" t="str">
        <f aca="false">IFERROR($E38/$D38,"N/A")</f>
        <v>N/A</v>
      </c>
      <c r="G38" s="156" t="str">
        <f aca="false">"Jump to AI Questions"</f>
        <v>Jump to AI Questions</v>
      </c>
      <c r="H38" s="157"/>
      <c r="I38" s="158"/>
      <c r="J38" s="137"/>
      <c r="K38" s="137"/>
      <c r="L38" s="137"/>
      <c r="M38" s="137"/>
      <c r="N38" s="137"/>
    </row>
    <row r="39" s="1" customFormat="true" ht="40.5" hidden="false" customHeight="true" outlineLevel="0" collapsed="false">
      <c r="A39" s="137"/>
      <c r="B39" s="160" t="s">
        <v>440</v>
      </c>
      <c r="C39" s="161" t="b">
        <f aca="false">TRUE()</f>
        <v>1</v>
      </c>
      <c r="D39" s="162" t="n">
        <f aca="false">IF($C39=TRUE(),SUMIF('(backend scoring)'!$E$3:$E$333,"Privacy",'(backend scoring)'!$O$3:$O$333),"")</f>
        <v>0</v>
      </c>
      <c r="E39" s="162" t="n">
        <f aca="false">IF($C39=TRUE(),SUMIF('(backend scoring)'!$E$3:$E$333,"Privacy",'(backend scoring)'!$P$3:$P$333),"")</f>
        <v>0</v>
      </c>
      <c r="F39" s="163" t="str">
        <f aca="false">IFERROR($E39/$D39,"N/A")</f>
        <v>N/A</v>
      </c>
      <c r="G39" s="164" t="str">
        <f aca="false">"Jump to Privacy Scorecard"</f>
        <v>Jump to Privacy Scorecard</v>
      </c>
      <c r="H39" s="165"/>
      <c r="I39" s="166"/>
      <c r="J39" s="137"/>
      <c r="K39" s="137"/>
      <c r="L39" s="137"/>
      <c r="M39" s="137"/>
      <c r="N39" s="137"/>
    </row>
    <row r="40" s="1" customFormat="true" ht="30" hidden="false" customHeight="true" outlineLevel="0" collapsed="false">
      <c r="A40" s="137"/>
      <c r="B40" s="139" t="s">
        <v>441</v>
      </c>
      <c r="C40" s="140"/>
      <c r="D40" s="167" t="n">
        <f aca="false">SUM(D21:D39)</f>
        <v>1205</v>
      </c>
      <c r="E40" s="167" t="n">
        <f aca="false">SUM(E21:E39)</f>
        <v>270</v>
      </c>
      <c r="F40" s="168" t="n">
        <f aca="false">IFERROR(E40/D40,"N/A")</f>
        <v>0.224066390041494</v>
      </c>
      <c r="G40" s="169"/>
      <c r="H40" s="170"/>
      <c r="I40" s="171"/>
      <c r="J40" s="51" t="s">
        <v>37</v>
      </c>
      <c r="K40" s="137"/>
      <c r="L40" s="137"/>
      <c r="M40" s="137"/>
      <c r="N40" s="137"/>
    </row>
    <row r="41" s="1" customFormat="true" ht="17.9" hidden="false" customHeight="false" outlineLevel="0" collapsed="false">
      <c r="A41" s="101"/>
      <c r="B41" s="101"/>
      <c r="C41" s="101"/>
      <c r="D41" s="101"/>
      <c r="E41" s="101"/>
      <c r="F41" s="101" t="s">
        <v>442</v>
      </c>
      <c r="G41" s="101"/>
      <c r="H41" s="101"/>
      <c r="I41" s="101"/>
      <c r="J41" s="101"/>
      <c r="K41" s="101"/>
      <c r="L41" s="101"/>
      <c r="M41" s="101"/>
      <c r="N41" s="101"/>
    </row>
    <row r="42" s="1" customFormat="true" ht="15" hidden="false" customHeight="false" outlineLevel="0" collapsed="false">
      <c r="A42" s="101"/>
      <c r="B42" s="101"/>
      <c r="C42" s="101"/>
      <c r="D42" s="101"/>
      <c r="E42" s="101"/>
      <c r="F42" s="101"/>
      <c r="G42" s="101"/>
      <c r="H42" s="101"/>
      <c r="I42" s="101"/>
      <c r="J42" s="101"/>
      <c r="K42" s="101"/>
      <c r="L42" s="101"/>
      <c r="M42" s="101"/>
      <c r="N42" s="101"/>
    </row>
    <row r="43" s="1" customFormat="true" ht="15" hidden="false" customHeight="true" outlineLevel="0" collapsed="false">
      <c r="A43" s="101"/>
      <c r="B43" s="101"/>
      <c r="C43" s="101"/>
      <c r="D43" s="101"/>
      <c r="E43" s="101"/>
      <c r="F43" s="101"/>
      <c r="G43" s="101"/>
      <c r="H43" s="101"/>
      <c r="I43" s="101"/>
      <c r="J43" s="101"/>
      <c r="K43" s="101"/>
      <c r="L43" s="101"/>
      <c r="M43" s="101"/>
      <c r="N43" s="101"/>
    </row>
    <row r="44" s="1" customFormat="true" ht="36" hidden="false" customHeight="true" outlineLevel="0" collapsed="false">
      <c r="A44" s="172" t="s">
        <v>443</v>
      </c>
      <c r="B44" s="172"/>
      <c r="C44" s="173"/>
      <c r="D44" s="172"/>
      <c r="E44" s="172"/>
      <c r="F44" s="172"/>
      <c r="G44" s="172"/>
      <c r="H44" s="172"/>
      <c r="I44" s="172"/>
      <c r="J44" s="172"/>
      <c r="K44" s="172"/>
      <c r="L44" s="101"/>
      <c r="N44" s="60"/>
    </row>
    <row r="45" s="1" customFormat="true" ht="36" hidden="false" customHeight="true" outlineLevel="0" collapsed="false">
      <c r="A45" s="174" t="s">
        <v>444</v>
      </c>
      <c r="B45" s="174"/>
      <c r="C45" s="175"/>
      <c r="D45" s="174"/>
      <c r="E45" s="174"/>
      <c r="F45" s="174"/>
      <c r="G45" s="174"/>
      <c r="H45" s="174"/>
      <c r="I45" s="174"/>
      <c r="J45" s="174"/>
      <c r="K45" s="174"/>
      <c r="L45" s="101"/>
      <c r="N45" s="60"/>
    </row>
    <row r="46" s="60" customFormat="true" ht="36" hidden="false" customHeight="true" outlineLevel="0" collapsed="false">
      <c r="A46" s="17" t="s">
        <v>413</v>
      </c>
      <c r="B46" s="18"/>
      <c r="C46" s="19"/>
      <c r="D46" s="20"/>
      <c r="E46" s="20"/>
      <c r="F46" s="21"/>
      <c r="G46" s="21"/>
      <c r="H46" s="21"/>
      <c r="I46" s="21"/>
      <c r="J46" s="21"/>
      <c r="K46" s="21"/>
      <c r="L46" s="101"/>
      <c r="M46" s="1"/>
      <c r="N46" s="1"/>
    </row>
    <row r="47" s="176" customFormat="true" ht="19.5" hidden="false" customHeight="true" outlineLevel="0" collapsed="false">
      <c r="A47" s="109" t="str">
        <f aca="false">HLOOKUP($A$4,'Auto Responses'!$F$2:$F$7,2,0)&amp;""</f>
        <v>1. Upon initial review, you can check the "Non-Negotiable" box by any question to compile a report of questions that may prohibit a full review.</v>
      </c>
      <c r="B47" s="112"/>
      <c r="C47" s="112"/>
      <c r="D47" s="112"/>
      <c r="E47" s="112"/>
      <c r="F47" s="112"/>
      <c r="G47" s="112"/>
      <c r="H47" s="112"/>
      <c r="I47" s="112"/>
      <c r="J47" s="112"/>
      <c r="K47" s="23"/>
      <c r="L47" s="101"/>
      <c r="M47" s="1"/>
      <c r="N47" s="1"/>
    </row>
    <row r="48" s="1" customFormat="true" ht="19.5" hidden="false" customHeight="true" outlineLevel="0" collapsed="false">
      <c r="A48" s="109" t="str">
        <f aca="false">HLOOKUP($A$4,'Auto Responses'!$F$2:$F$7,3,0)&amp;""</f>
        <v>2. When evaluating an answer, a default importance level has been set. You can use the "Importance Override" dropdown to override the default and adjust the value of the question.</v>
      </c>
      <c r="B48" s="112"/>
      <c r="C48" s="112"/>
      <c r="D48" s="112"/>
      <c r="E48" s="112"/>
      <c r="F48" s="112"/>
      <c r="G48" s="112"/>
      <c r="H48" s="112"/>
      <c r="I48" s="112"/>
      <c r="J48" s="112"/>
      <c r="K48" s="23"/>
      <c r="L48" s="101"/>
    </row>
    <row r="49" s="176" customFormat="true" ht="19.5" hidden="false" customHeight="true" outlineLevel="0" collapsed="false">
      <c r="A49" s="109" t="str">
        <f aca="false">HLOOKUP($A$4,'Auto Responses'!$F$2:$F$7,4,0)&amp;""</f>
        <v>3. For questions that are qualitative or for which you disagree with the preferred response, make a selection in the "Compliant Override" dropdown to adjust the question's impact on the score.</v>
      </c>
      <c r="B49" s="112"/>
      <c r="C49" s="112"/>
      <c r="D49" s="112"/>
      <c r="E49" s="112"/>
      <c r="F49" s="112"/>
      <c r="G49" s="112"/>
      <c r="H49" s="112"/>
      <c r="I49" s="112"/>
      <c r="J49" s="112"/>
      <c r="K49" s="23"/>
      <c r="L49" s="101"/>
      <c r="M49" s="1"/>
      <c r="N49" s="1"/>
    </row>
    <row r="50" s="176" customFormat="true" ht="19.5" hidden="false" customHeight="true" outlineLevel="0" collapsed="false">
      <c r="A50" s="109" t="str">
        <f aca="false">HLOOKUP($A$4,'Auto Responses'!$F$2:$F$7,5,0)&amp;""</f>
        <v>4. Each worksheet shows a report for that section. See the "Analyst Report" sheet for a full report of all sections. </v>
      </c>
      <c r="B50" s="112"/>
      <c r="C50" s="112"/>
      <c r="D50" s="112"/>
      <c r="E50" s="112"/>
      <c r="F50" s="112"/>
      <c r="G50" s="112"/>
      <c r="H50" s="112"/>
      <c r="I50" s="112"/>
      <c r="J50" s="112"/>
      <c r="K50" s="23"/>
      <c r="L50" s="101"/>
      <c r="M50" s="1"/>
      <c r="N50" s="1"/>
    </row>
    <row r="51" s="176" customFormat="true" ht="19.5" hidden="false" customHeight="true" outlineLevel="0" collapsed="false">
      <c r="A51" s="109" t="str">
        <f aca="false">HLOOKUP($A$4,'Auto Responses'!$F$2:$F$7,6,0)&amp;""</f>
        <v>5. If you are evaluating a question that appears in an earlier section, the Importance and Compliant Override cannot be changed but additional notes can be added. </v>
      </c>
      <c r="B51" s="112"/>
      <c r="C51" s="112"/>
      <c r="D51" s="112"/>
      <c r="E51" s="112"/>
      <c r="F51" s="112"/>
      <c r="G51" s="112"/>
      <c r="H51" s="112"/>
      <c r="I51" s="112"/>
      <c r="J51" s="112"/>
      <c r="K51" s="23"/>
      <c r="L51" s="101"/>
      <c r="M51" s="1"/>
      <c r="N51" s="1"/>
    </row>
    <row r="52" s="176" customFormat="true" ht="19.5" hidden="false" customHeight="true" outlineLevel="0" collapsed="false">
      <c r="A52" s="111" t="str">
        <f aca="false">HLOOKUP($A$4,'Auto Responses'!$F$2:$F$8,7,0)&amp;""</f>
        <v>For full instructions, please visit EDUCAUSE.edu/HECVAT</v>
      </c>
      <c r="B52" s="112"/>
      <c r="C52" s="112"/>
      <c r="D52" s="112"/>
      <c r="E52" s="112"/>
      <c r="F52" s="112"/>
      <c r="G52" s="112"/>
      <c r="H52" s="112"/>
      <c r="I52" s="112"/>
      <c r="J52" s="112"/>
      <c r="K52" s="23"/>
      <c r="L52" s="101"/>
      <c r="M52" s="1"/>
      <c r="N52" s="1"/>
    </row>
    <row r="53" s="176" customFormat="true" ht="41.25" hidden="false" customHeight="true" outlineLevel="0" collapsed="false">
      <c r="A53" s="177"/>
      <c r="B53" s="177"/>
      <c r="C53" s="178"/>
      <c r="D53" s="177"/>
      <c r="E53" s="177"/>
      <c r="F53" s="179" t="s">
        <v>24</v>
      </c>
      <c r="G53" s="180" t="s">
        <v>445</v>
      </c>
      <c r="H53" s="181"/>
      <c r="I53" s="181"/>
      <c r="J53" s="181"/>
      <c r="K53" s="181"/>
      <c r="L53" s="101"/>
      <c r="M53" s="1"/>
      <c r="N53" s="60"/>
    </row>
    <row r="54" s="176" customFormat="true" ht="63" hidden="false" customHeight="true" outlineLevel="0" collapsed="false">
      <c r="A54" s="182" t="s">
        <v>446</v>
      </c>
      <c r="B54" s="183" t="s">
        <v>447</v>
      </c>
      <c r="C54" s="183" t="s">
        <v>21</v>
      </c>
      <c r="D54" s="184" t="s">
        <v>22</v>
      </c>
      <c r="E54" s="185" t="s">
        <v>23</v>
      </c>
      <c r="F54" s="186" t="s">
        <v>448</v>
      </c>
      <c r="G54" s="187" t="s">
        <v>449</v>
      </c>
      <c r="H54" s="188" t="s">
        <v>450</v>
      </c>
      <c r="I54" s="188" t="s">
        <v>451</v>
      </c>
      <c r="J54" s="189" t="s">
        <v>452</v>
      </c>
      <c r="K54" s="190" t="s">
        <v>453</v>
      </c>
      <c r="L54" s="101"/>
      <c r="M54" s="1"/>
    </row>
    <row r="55" s="176" customFormat="true" ht="17.9" hidden="false" customHeight="false" outlineLevel="0" collapsed="false">
      <c r="A55" s="31" t="str">
        <f aca="false">VLOOKUP(LEFT($A56,4),'Auto Responses'!$N$4:$O$38,2,0)&amp;""</f>
        <v> General Information</v>
      </c>
      <c r="B55" s="42"/>
      <c r="C55" s="43"/>
      <c r="D55" s="43"/>
      <c r="E55" s="191"/>
      <c r="F55" s="192" t="s">
        <v>454</v>
      </c>
      <c r="G55" s="43"/>
      <c r="H55" s="43"/>
      <c r="I55" s="43"/>
      <c r="J55" s="43"/>
      <c r="K55" s="43"/>
      <c r="L55" s="101"/>
      <c r="M55" s="1"/>
      <c r="N55" s="1"/>
    </row>
    <row r="56" s="176" customFormat="true" ht="17.9" hidden="false" customHeight="false" outlineLevel="0" collapsed="false">
      <c r="A56" s="35" t="str">
        <f aca="false">'START HERE'!$A$13</f>
        <v>GNRL-01</v>
      </c>
      <c r="B56" s="36" t="str">
        <f aca="false">VLOOKUP($A56,'START HERE'!$A$13:$E$36,2,0)&amp;""</f>
        <v>Solution Provider Name</v>
      </c>
      <c r="C56" s="193" t="str">
        <f aca="false">VLOOKUP($A56,'START HERE'!$A$13:$E$36,3,0)&amp;""</f>
        <v>QGIS.org</v>
      </c>
      <c r="D56" s="194" t="str">
        <f aca="false">IF(LEFT(VLOOKUP($A56,'START HERE'!$A$13:$E$36,5,0),21)='Auto Responses'!$A$32,'Auto Responses'!$A$33,VLOOKUP($A56,'START HERE'!$A$13:$E$36,4,0))&amp;""</f>
        <v/>
      </c>
      <c r="E56" s="195" t="str">
        <f aca="false">VLOOKUP($A56,'START HERE'!$A$13:$E$36,5,0)&amp;""</f>
        <v/>
      </c>
      <c r="F56" s="196"/>
      <c r="G56" s="197" t="str">
        <f aca="false">VLOOKUP($A56,Questions!$A$2:$X$333,21,0)&amp;""</f>
        <v>Not scored</v>
      </c>
      <c r="H56" s="198"/>
      <c r="I56" s="199" t="str">
        <f aca="false">VLOOKUP($A56,Questions!$A$2:$X$333,23,0)&amp;""</f>
        <v/>
      </c>
      <c r="J56" s="198"/>
      <c r="K56" s="200"/>
      <c r="L56" s="101"/>
      <c r="M56" s="1"/>
    </row>
    <row r="57" s="176" customFormat="true" ht="17.9" hidden="false" customHeight="false" outlineLevel="0" collapsed="false">
      <c r="A57" s="35" t="str">
        <f aca="false">'START HERE'!$A$14</f>
        <v>GNRL-02</v>
      </c>
      <c r="B57" s="36" t="str">
        <f aca="false">VLOOKUP($A57,'START HERE'!$A$13:$E$36,2,0)&amp;""</f>
        <v>Solution Name</v>
      </c>
      <c r="C57" s="193" t="str">
        <f aca="false">VLOOKUP($A57,'START HERE'!$A$13:$E$36,3,0)&amp;""</f>
        <v>QGIS.org</v>
      </c>
      <c r="D57" s="194" t="str">
        <f aca="false">IF(LEFT(VLOOKUP($A57,'START HERE'!$A$13:$E$36,5,0),21)='Auto Responses'!$A$32,'Auto Responses'!$A$33,VLOOKUP($A57,'START HERE'!$A$13:$E$36,4,0))&amp;""</f>
        <v/>
      </c>
      <c r="E57" s="195" t="str">
        <f aca="false">VLOOKUP($A57,'START HERE'!$A$13:$E$36,5,0)&amp;""</f>
        <v/>
      </c>
      <c r="F57" s="196"/>
      <c r="G57" s="197" t="str">
        <f aca="false">VLOOKUP($A57,Questions!$A$2:$X$333,21,0)&amp;""</f>
        <v>Not scored</v>
      </c>
      <c r="H57" s="198"/>
      <c r="I57" s="199" t="str">
        <f aca="false">VLOOKUP($A57,Questions!$A$2:$X$333,23,0)&amp;""</f>
        <v/>
      </c>
      <c r="J57" s="198"/>
      <c r="K57" s="200"/>
      <c r="L57" s="101"/>
      <c r="M57" s="1"/>
    </row>
    <row r="58" s="1" customFormat="true" ht="17.9" hidden="false" customHeight="false" outlineLevel="0" collapsed="false">
      <c r="A58" s="35" t="str">
        <f aca="false">'START HERE'!$A$15</f>
        <v>GNRL-03</v>
      </c>
      <c r="B58" s="36" t="str">
        <f aca="false">VLOOKUP($A58,'START HERE'!$A$13:$E$36,2,0)&amp;""</f>
        <v>Solution Description</v>
      </c>
      <c r="C58" s="193" t="str">
        <f aca="false">VLOOKUP($A58,'START HERE'!$A$13:$E$36,3,0)&amp;""</f>
        <v>QGIS is a free and open source Geographic information system, running on Windows, MacOS, Linux and with solution for mobile OS.</v>
      </c>
      <c r="D58" s="194" t="str">
        <f aca="false">IF(LEFT(VLOOKUP($A58,'START HERE'!$A$13:$E$36,5,0),21)='Auto Responses'!$A$32,'Auto Responses'!$A$33,VLOOKUP($A58,'START HERE'!$A$13:$E$36,4,0))&amp;""</f>
        <v/>
      </c>
      <c r="E58" s="195" t="str">
        <f aca="false">VLOOKUP($A58,'START HERE'!$A$13:$E$36,5,0)&amp;""</f>
        <v/>
      </c>
      <c r="F58" s="196"/>
      <c r="G58" s="197" t="str">
        <f aca="false">VLOOKUP($A58,Questions!$A$2:$X$333,21,0)&amp;""</f>
        <v>Not scored</v>
      </c>
      <c r="H58" s="198"/>
      <c r="I58" s="199" t="str">
        <f aca="false">VLOOKUP($A58,Questions!$A$2:$X$333,23,0)&amp;""</f>
        <v/>
      </c>
      <c r="J58" s="198"/>
      <c r="K58" s="200"/>
      <c r="L58" s="101"/>
      <c r="N58" s="176"/>
    </row>
    <row r="59" s="176" customFormat="true" ht="17.9" hidden="false" customHeight="false" outlineLevel="0" collapsed="false">
      <c r="A59" s="35" t="str">
        <f aca="false">'START HERE'!$A$16</f>
        <v>GNRL-04</v>
      </c>
      <c r="B59" s="36" t="str">
        <f aca="false">VLOOKUP($A59,'START HERE'!$A$13:$E$36,2,0)&amp;""</f>
        <v>Solution Provider Contact Name</v>
      </c>
      <c r="C59" s="193" t="str">
        <f aca="false">VLOOKUP($A59,'START HERE'!$A$13:$E$36,3,0)&amp;""</f>
        <v>Program Steering Commitee (PSC)</v>
      </c>
      <c r="D59" s="194" t="str">
        <f aca="false">IF(LEFT(VLOOKUP($A59,'START HERE'!$A$13:$E$36,5,0),21)='Auto Responses'!$A$32,'Auto Responses'!$A$33,VLOOKUP($A59,'START HERE'!$A$13:$E$36,4,0))&amp;""</f>
        <v/>
      </c>
      <c r="E59" s="195" t="str">
        <f aca="false">VLOOKUP($A59,'START HERE'!$A$13:$E$36,5,0)&amp;""</f>
        <v/>
      </c>
      <c r="F59" s="196"/>
      <c r="G59" s="197" t="str">
        <f aca="false">VLOOKUP($A59,Questions!$A$2:$X$333,21,0)&amp;""</f>
        <v>Not scored</v>
      </c>
      <c r="H59" s="198"/>
      <c r="I59" s="199" t="str">
        <f aca="false">VLOOKUP($A59,Questions!$A$2:$X$333,23,0)&amp;""</f>
        <v/>
      </c>
      <c r="J59" s="198"/>
      <c r="K59" s="200"/>
      <c r="L59" s="101"/>
      <c r="M59" s="1"/>
    </row>
    <row r="60" s="176" customFormat="true" ht="17.9" hidden="false" customHeight="false" outlineLevel="0" collapsed="false">
      <c r="A60" s="35" t="str">
        <f aca="false">'START HERE'!$A$17</f>
        <v>GNRL-05</v>
      </c>
      <c r="B60" s="36" t="str">
        <f aca="false">VLOOKUP($A60,'START HERE'!$A$13:$E$36,2,0)&amp;""</f>
        <v>Solution Provider Contact Title</v>
      </c>
      <c r="C60" s="193" t="str">
        <f aca="false">VLOOKUP($A60,'START HERE'!$A$13:$E$36,3,0)&amp;""</f>
        <v>PSC</v>
      </c>
      <c r="D60" s="194" t="str">
        <f aca="false">IF(LEFT(VLOOKUP($A60,'START HERE'!$A$13:$E$36,5,0),21)='Auto Responses'!$A$32,'Auto Responses'!$A$33,VLOOKUP($A60,'START HERE'!$A$13:$E$36,4,0))&amp;""</f>
        <v/>
      </c>
      <c r="E60" s="195" t="str">
        <f aca="false">VLOOKUP($A60,'START HERE'!$A$13:$E$36,5,0)&amp;""</f>
        <v/>
      </c>
      <c r="F60" s="196"/>
      <c r="G60" s="197" t="str">
        <f aca="false">VLOOKUP($A60,Questions!$A$2:$X$333,21,0)&amp;""</f>
        <v>Not scored</v>
      </c>
      <c r="H60" s="198"/>
      <c r="I60" s="199" t="str">
        <f aca="false">VLOOKUP($A60,Questions!$A$2:$X$333,23,0)&amp;""</f>
        <v/>
      </c>
      <c r="J60" s="198"/>
      <c r="K60" s="200"/>
      <c r="L60" s="101"/>
      <c r="M60" s="1"/>
    </row>
    <row r="61" s="176" customFormat="true" ht="17.9" hidden="false" customHeight="false" outlineLevel="0" collapsed="false">
      <c r="A61" s="35" t="str">
        <f aca="false">'START HERE'!$A$18</f>
        <v>GNRL-06</v>
      </c>
      <c r="B61" s="36" t="str">
        <f aca="false">VLOOKUP($A61,'START HERE'!$A$13:$E$36,2,0)&amp;""</f>
        <v>Solution Provider Contact Email</v>
      </c>
      <c r="C61" s="193" t="str">
        <f aca="false">VLOOKUP($A61,'START HERE'!$A$13:$E$36,3,0)&amp;""</f>
        <v>qgis-psc@lists.osgeo.org.</v>
      </c>
      <c r="D61" s="194" t="str">
        <f aca="false">IF(LEFT(VLOOKUP($A61,'START HERE'!$A$13:$E$36,5,0),21)='Auto Responses'!$A$32,'Auto Responses'!$A$33,VLOOKUP($A61,'START HERE'!$A$13:$E$36,4,0))&amp;""</f>
        <v/>
      </c>
      <c r="E61" s="195" t="str">
        <f aca="false">VLOOKUP($A61,'START HERE'!$A$13:$E$36,5,0)&amp;""</f>
        <v/>
      </c>
      <c r="F61" s="196"/>
      <c r="G61" s="197" t="str">
        <f aca="false">VLOOKUP($A61,Questions!$A$2:$X$333,21,0)&amp;""</f>
        <v>Not scored</v>
      </c>
      <c r="H61" s="198"/>
      <c r="I61" s="199" t="str">
        <f aca="false">VLOOKUP($A61,Questions!$A$2:$X$333,23,0)&amp;""</f>
        <v/>
      </c>
      <c r="J61" s="198"/>
      <c r="K61" s="200"/>
      <c r="L61" s="101"/>
      <c r="M61" s="1"/>
    </row>
    <row r="62" s="176" customFormat="true" ht="17.9" hidden="false" customHeight="false" outlineLevel="0" collapsed="false">
      <c r="A62" s="35" t="str">
        <f aca="false">'START HERE'!$A$19</f>
        <v>GNRL-07</v>
      </c>
      <c r="B62" s="36" t="str">
        <f aca="false">VLOOKUP($A62,'START HERE'!$A$13:$E$36,2,0)&amp;""</f>
        <v>Solution Provider Contact Phone Number</v>
      </c>
      <c r="C62" s="193" t="str">
        <f aca="false">VLOOKUP($A62,'START HERE'!$A$13:$E$36,3,0)&amp;""</f>
        <v>NA</v>
      </c>
      <c r="D62" s="194" t="str">
        <f aca="false">IF(LEFT(VLOOKUP($A62,'START HERE'!$A$13:$E$36,5,0),21)='Auto Responses'!$A$32,'Auto Responses'!$A$33,VLOOKUP($A62,'START HERE'!$A$13:$E$36,4,0))&amp;""</f>
        <v/>
      </c>
      <c r="E62" s="195" t="str">
        <f aca="false">VLOOKUP($A62,'START HERE'!$A$13:$E$36,5,0)&amp;""</f>
        <v/>
      </c>
      <c r="F62" s="196"/>
      <c r="G62" s="197" t="str">
        <f aca="false">VLOOKUP($A62,Questions!$A$2:$X$333,21,0)&amp;""</f>
        <v>Not scored</v>
      </c>
      <c r="H62" s="198"/>
      <c r="I62" s="199" t="str">
        <f aca="false">VLOOKUP($A62,Questions!$A$2:$X$333,23,0)&amp;""</f>
        <v/>
      </c>
      <c r="J62" s="198"/>
      <c r="K62" s="200"/>
      <c r="L62" s="101"/>
      <c r="M62" s="1"/>
    </row>
    <row r="63" s="176" customFormat="true" ht="17.9" hidden="false" customHeight="false" outlineLevel="0" collapsed="false">
      <c r="A63" s="35" t="str">
        <f aca="false">'START HERE'!$A$20</f>
        <v>GNRL-08</v>
      </c>
      <c r="B63" s="36" t="str">
        <f aca="false">VLOOKUP($A63,'START HERE'!$A$13:$E$36,2,0)&amp;""</f>
        <v>Country of Company Headquarters</v>
      </c>
      <c r="C63" s="193" t="str">
        <f aca="false">VLOOKUP($A63,'START HERE'!$A$13:$E$36,3,0)&amp;""</f>
        <v>Switzerland</v>
      </c>
      <c r="D63" s="194" t="str">
        <f aca="false">IF(LEFT(VLOOKUP($A63,'START HERE'!$A$13:$E$36,5,0),21)='Auto Responses'!$A$32,'Auto Responses'!$A$33,VLOOKUP($A63,'START HERE'!$A$13:$E$36,4,0))&amp;""</f>
        <v/>
      </c>
      <c r="E63" s="195" t="str">
        <f aca="false">VLOOKUP($A63,'START HERE'!$A$13:$E$36,5,0)&amp;""</f>
        <v/>
      </c>
      <c r="F63" s="196"/>
      <c r="G63" s="197" t="str">
        <f aca="false">VLOOKUP($A63,Questions!$A$2:$X$333,21,0)&amp;""</f>
        <v>Not scored</v>
      </c>
      <c r="H63" s="198"/>
      <c r="I63" s="199" t="str">
        <f aca="false">VLOOKUP($A63,Questions!$A$2:$X$333,23,0)&amp;""</f>
        <v/>
      </c>
      <c r="J63" s="198"/>
      <c r="K63" s="200"/>
      <c r="L63" s="101"/>
      <c r="M63" s="1"/>
    </row>
    <row r="64" s="1" customFormat="true" ht="17.9" hidden="false" customHeight="false" outlineLevel="0" collapsed="false">
      <c r="A64" s="35" t="str">
        <f aca="false">'START HERE'!$A$21</f>
        <v>GNRL-09</v>
      </c>
      <c r="B64" s="36" t="str">
        <f aca="false">VLOOKUP($A64,'START HERE'!$A$13:$E$36,2,0)&amp;""</f>
        <v>Employee Work Locations (all)</v>
      </c>
      <c r="C64" s="193" t="str">
        <f aca="false">VLOOKUP($A64,'START HERE'!$A$13:$E$36,3,0)&amp;""</f>
        <v>Worldwide </v>
      </c>
      <c r="D64" s="194" t="str">
        <f aca="false">IF(LEFT(VLOOKUP($A64,'START HERE'!$A$13:$E$36,5,0),21)='Auto Responses'!$A$32,'Auto Responses'!$A$33,VLOOKUP($A64,'START HERE'!$A$13:$E$36,4,0))&amp;""</f>
        <v/>
      </c>
      <c r="E64" s="195" t="str">
        <f aca="false">VLOOKUP($A64,'START HERE'!$A$13:$E$36,5,0)&amp;""</f>
        <v/>
      </c>
      <c r="F64" s="196"/>
      <c r="G64" s="197" t="str">
        <f aca="false">VLOOKUP($A64,Questions!$A$2:$X$333,21,0)&amp;""</f>
        <v>Not scored</v>
      </c>
      <c r="H64" s="198"/>
      <c r="I64" s="199" t="str">
        <f aca="false">VLOOKUP($A64,Questions!$A$2:$X$333,23,0)&amp;""</f>
        <v/>
      </c>
      <c r="J64" s="198"/>
      <c r="K64" s="200"/>
      <c r="L64" s="101"/>
      <c r="N64" s="176"/>
    </row>
    <row r="65" s="176" customFormat="true" ht="17.9" hidden="false" customHeight="false" outlineLevel="0" collapsed="false">
      <c r="A65" s="31" t="str">
        <f aca="false">VLOOKUP(LEFT($A66,4),'Auto Responses'!$N$4:$O$38,2,0)&amp;""</f>
        <v> Company Information</v>
      </c>
      <c r="B65" s="42"/>
      <c r="C65" s="43"/>
      <c r="D65" s="43"/>
      <c r="E65" s="191"/>
      <c r="F65" s="192" t="s">
        <v>454</v>
      </c>
      <c r="G65" s="201" t="s">
        <v>449</v>
      </c>
      <c r="H65" s="201" t="s">
        <v>450</v>
      </c>
      <c r="I65" s="201" t="s">
        <v>451</v>
      </c>
      <c r="J65" s="201" t="s">
        <v>452</v>
      </c>
      <c r="K65" s="43"/>
      <c r="L65" s="101"/>
      <c r="M65" s="1"/>
      <c r="N65" s="1"/>
    </row>
    <row r="66" s="176" customFormat="true" ht="31.3" hidden="false" customHeight="false" outlineLevel="0" collapsed="false">
      <c r="A66" s="35" t="str">
        <f aca="false">'START HERE'!$A$23</f>
        <v>COMP-01</v>
      </c>
      <c r="B66" s="36" t="str">
        <f aca="false">VLOOKUP($A66,'START HERE'!$A$13:$E$36,2,0)&amp;""</f>
        <v>Do you have a dedicated software and system development team(s) (e.g., customer support, implementation, product management, etc.)?*</v>
      </c>
      <c r="C66" s="199" t="str">
        <f aca="false">VLOOKUP($A66,'START HERE'!$A$13:$E$36,3,0)&amp;""</f>
        <v>No</v>
      </c>
      <c r="D66" s="68" t="str">
        <f aca="false">IF(LEFT(VLOOKUP($A66,'START HERE'!$A$13:$E$36,5,0),21)='Auto Responses'!$A$32,'Auto Responses'!$A$33,VLOOKUP($A66,'START HERE'!$A$13:$E$36,4,0))&amp;""</f>
        <v>QGIS is driven by community. </v>
      </c>
      <c r="E66" s="202" t="str">
        <f aca="false">VLOOKUP($A66,'START HERE'!$A$13:$E$36,5,0)&amp;""</f>
        <v>Describe any plans to create a dedicated software and system development team.</v>
      </c>
      <c r="F66" s="196"/>
      <c r="G66" s="197" t="str">
        <f aca="false">VLOOKUP($A66,Questions!$A$2:$X$333,21,0)&amp;""</f>
        <v>Yes</v>
      </c>
      <c r="H66" s="198"/>
      <c r="I66" s="199" t="str">
        <f aca="false">VLOOKUP($A66,Questions!$A$2:$X$333,23,0)&amp;""</f>
        <v>Critical Importance</v>
      </c>
      <c r="J66" s="198"/>
      <c r="K66" s="200" t="b">
        <f aca="false">FALSE()</f>
        <v>0</v>
      </c>
      <c r="L66" s="101"/>
      <c r="M66" s="1"/>
    </row>
    <row r="67" s="176" customFormat="true" ht="83.55" hidden="false" customHeight="false" outlineLevel="0" collapsed="false">
      <c r="A67" s="35" t="str">
        <f aca="false">'START HERE'!$A$24</f>
        <v>COMP-02</v>
      </c>
      <c r="B67" s="36" t="str">
        <f aca="false">VLOOKUP($A67,'START HERE'!$A$13:$E$36,2,0)&amp;""</f>
        <v>Describe your organization’s business background and ownership structure, including all parent and subsidiary relationships.</v>
      </c>
      <c r="C67" s="203" t="str">
        <f aca="false">VLOOKUP($A67,'START HERE'!$A$13:$E$36,3,0)&amp;""</f>
        <v>GIS is an open-source project comprised of contributors worldwide; no single company sells a hosted QGIS service by default). Provide organization/legal entity if your institution contracts with a third-party vendor providing commercial QGIS support.</v>
      </c>
      <c r="D67" s="194" t="str">
        <f aca="false">IF(LEFT(VLOOKUP($A67,'START HERE'!$A$13:$E$36,5,0),21)='Auto Responses'!$A$32,'Auto Responses'!$A$33,VLOOKUP($A67,'START HERE'!$A$13:$E$36,4,0))&amp;""</f>
        <v/>
      </c>
      <c r="E67" s="202" t="str">
        <f aca="false">VLOOKUP($A67,'START HERE'!$A$13:$E$36,5,0)&amp;""</f>
        <v>Include circumstances that may involve offshoring or multinational agreements.</v>
      </c>
      <c r="F67" s="196"/>
      <c r="G67" s="197" t="str">
        <f aca="false">VLOOKUP($A67,Questions!$A$2:$X$333,21,0)&amp;""</f>
        <v>Not scored</v>
      </c>
      <c r="H67" s="198"/>
      <c r="I67" s="199" t="str">
        <f aca="false">VLOOKUP($A67,Questions!$A$2:$X$333,23,0)&amp;""</f>
        <v/>
      </c>
      <c r="J67" s="198"/>
      <c r="K67" s="200" t="b">
        <f aca="false">FALSE()</f>
        <v>0</v>
      </c>
      <c r="L67" s="101"/>
      <c r="M67" s="1"/>
    </row>
    <row r="68" s="176" customFormat="true" ht="31.3" hidden="false" customHeight="false" outlineLevel="0" collapsed="false">
      <c r="A68" s="35" t="str">
        <f aca="false">'START HERE'!$A$25</f>
        <v>COMP-03</v>
      </c>
      <c r="B68" s="36" t="str">
        <f aca="false">VLOOKUP($A68,'START HERE'!$A$13:$E$36,2,0)&amp;""</f>
        <v>Have you operated without unplanned disruptions to this solution in the past 12 months?</v>
      </c>
      <c r="C68" s="199" t="str">
        <f aca="false">VLOOKUP($A68,'START HERE'!$A$13:$E$36,3,0)&amp;""</f>
        <v>Yes</v>
      </c>
      <c r="D68" s="68" t="str">
        <f aca="false">IF(LEFT(VLOOKUP($A68,'START HERE'!$A$13:$E$36,5,0),21)='Auto Responses'!$A$32,'Auto Responses'!$A$33,VLOOKUP($A68,'START HERE'!$A$13:$E$36,4,0))&amp;""</f>
        <v>QGIS is a desktop tool. Question not applicable. </v>
      </c>
      <c r="E68" s="202" t="str">
        <f aca="false">VLOOKUP($A68,'START HERE'!$A$13:$E$36,5,0)&amp;""</f>
        <v/>
      </c>
      <c r="F68" s="196"/>
      <c r="G68" s="197" t="str">
        <f aca="false">VLOOKUP($A68,Questions!$A$2:$X$333,21,0)&amp;""</f>
        <v>Yes</v>
      </c>
      <c r="H68" s="198"/>
      <c r="I68" s="199" t="str">
        <f aca="false">VLOOKUP($A68,Questions!$A$2:$X$333,23,0)&amp;""</f>
        <v>Minor Importance</v>
      </c>
      <c r="J68" s="198"/>
      <c r="K68" s="200" t="b">
        <f aca="false">FALSE()</f>
        <v>0</v>
      </c>
      <c r="L68" s="101"/>
      <c r="M68" s="1"/>
    </row>
    <row r="69" s="176" customFormat="true" ht="17.9" hidden="false" customHeight="false" outlineLevel="0" collapsed="false">
      <c r="A69" s="35" t="str">
        <f aca="false">'START HERE'!$A$26</f>
        <v>COMP-04</v>
      </c>
      <c r="B69" s="36" t="str">
        <f aca="false">VLOOKUP($A69,'START HERE'!$A$13:$E$36,2,0)&amp;""</f>
        <v>Do you have a dedicated information security staff or office?</v>
      </c>
      <c r="C69" s="199" t="str">
        <f aca="false">VLOOKUP($A69,'START HERE'!$A$13:$E$36,3,0)&amp;""</f>
        <v>Yes</v>
      </c>
      <c r="D69" s="68" t="str">
        <f aca="false">IF(LEFT(VLOOKUP($A69,'START HERE'!$A$13:$E$36,5,0),21)='Auto Responses'!$A$32,'Auto Responses'!$A$33,VLOOKUP($A69,'START HERE'!$A$13:$E$36,4,0))&amp;""</f>
        <v>We have roles for security management. Mix of benevolent and professional contributors. </v>
      </c>
      <c r="E69" s="202" t="str">
        <f aca="false">VLOOKUP($A69,'START HERE'!$A$13:$E$36,5,0)&amp;""</f>
        <v>Describe your information security office, including size, talents, resources, etc.</v>
      </c>
      <c r="F69" s="196"/>
      <c r="G69" s="197" t="str">
        <f aca="false">VLOOKUP($A69,Questions!$A$2:$X$333,21,0)&amp;""</f>
        <v>Yes</v>
      </c>
      <c r="H69" s="198"/>
      <c r="I69" s="199" t="str">
        <f aca="false">VLOOKUP($A69,Questions!$A$2:$X$333,23,0)&amp;""</f>
        <v>Minor Importance</v>
      </c>
      <c r="J69" s="198"/>
      <c r="K69" s="200" t="b">
        <f aca="false">FALSE()</f>
        <v>0</v>
      </c>
      <c r="L69" s="101"/>
      <c r="M69" s="1"/>
    </row>
    <row r="70" s="176" customFormat="true" ht="83.55" hidden="false" customHeight="false" outlineLevel="0" collapsed="false">
      <c r="A70" s="35" t="str">
        <f aca="false">'START HERE'!$A$27</f>
        <v>COMP-05</v>
      </c>
      <c r="B70" s="36" t="str">
        <f aca="false">VLOOKUP($A70,'START HERE'!$A$13:$E$36,2,0)&amp;""</f>
        <v>Use this area to share information about your environment that will assist those who are assessing your company's data security program.</v>
      </c>
      <c r="C70" s="203" t="str">
        <f aca="false">VLOOKUP($A70,'START HERE'!$A$13:$E$36,3,0)&amp;""</f>
        <v>QGIS.org does not handle users data as it is not a Saas Service.
QGIS let’s you pull your own datasources to make maps, data input, data analysis. No data is ever uploaded in a distant server handled by QGIS.org. Each data provider has itw own security access rules, from none for CSV, to really advanced for PostgreSQL. QGIS follows state of art for each data provider requirements, and offers an authentication manager to protect credential in an encrypted local vault (funded by NSA)</v>
      </c>
      <c r="D70" s="194" t="str">
        <f aca="false">IF(LEFT(VLOOKUP($A70,'START HERE'!$A$13:$E$36,5,0),21)='Auto Responses'!$A$32,'Auto Responses'!$A$33,VLOOKUP($A70,'START HERE'!$A$13:$E$36,4,0))&amp;""</f>
        <v/>
      </c>
      <c r="E70" s="202" t="str">
        <f aca="false">VLOOKUP($A70,'START HERE'!$A$13:$E$36,5,0)&amp;""</f>
        <v>Share any details that would help information security analysts assess your solution.</v>
      </c>
      <c r="F70" s="196"/>
      <c r="G70" s="197" t="str">
        <f aca="false">VLOOKUP($A70,Questions!$A$2:$X$333,21,0)&amp;""</f>
        <v>Not scored</v>
      </c>
      <c r="H70" s="198"/>
      <c r="I70" s="199" t="str">
        <f aca="false">VLOOKUP($A70,Questions!$A$2:$X$333,23,0)&amp;""</f>
        <v/>
      </c>
      <c r="J70" s="198"/>
      <c r="K70" s="200" t="b">
        <f aca="false">FALSE()</f>
        <v>0</v>
      </c>
      <c r="L70" s="101"/>
      <c r="M70" s="1"/>
    </row>
    <row r="71" s="176" customFormat="true" ht="17.9" hidden="false" customHeight="false" outlineLevel="0" collapsed="false">
      <c r="A71" s="31" t="str">
        <f aca="false">VLOOKUP(LEFT($A72,4),'Auto Responses'!$N$4:$O$38,2,0)&amp;""</f>
        <v> Required Questions</v>
      </c>
      <c r="B71" s="42"/>
      <c r="C71" s="43"/>
      <c r="D71" s="43"/>
      <c r="E71" s="204"/>
      <c r="F71" s="192" t="s">
        <v>454</v>
      </c>
      <c r="G71" s="201" t="s">
        <v>449</v>
      </c>
      <c r="H71" s="201" t="s">
        <v>450</v>
      </c>
      <c r="I71" s="201" t="s">
        <v>451</v>
      </c>
      <c r="J71" s="201" t="s">
        <v>452</v>
      </c>
      <c r="K71" s="205"/>
      <c r="L71" s="101"/>
      <c r="M71" s="1"/>
      <c r="N71" s="1"/>
    </row>
    <row r="72" s="176" customFormat="true" ht="83.55" hidden="false" customHeight="false" outlineLevel="0" collapsed="false">
      <c r="A72" s="35" t="str">
        <f aca="false">'START HERE'!$A$29</f>
        <v>REQU-01</v>
      </c>
      <c r="B72" s="36" t="str">
        <f aca="false">VLOOKUP($A72,'START HERE'!$A$13:$E$36,2,0)&amp;""</f>
        <v>Are you offering a cloud-based product?</v>
      </c>
      <c r="C72" s="199" t="str">
        <f aca="false">VLOOKUP($A72,'START HERE'!$A$13:$E$36,3,0)&amp;""</f>
        <v>No</v>
      </c>
      <c r="D72" s="68" t="str">
        <f aca="false">IF(LEFT(VLOOKUP($A72,'START HERE'!$A$13:$E$36,5,0),21)='Auto Responses'!$A$32,'Auto Responses'!$A$33,VLOOKUP($A72,'START HERE'!$A$13:$E$36,4,0))&amp;""</f>
        <v>external companies can build Saas services using QGIS server or QGIS mobiile features, but those are separate products and handled by other companies</v>
      </c>
      <c r="E72" s="206" t="str">
        <f aca="false">VLOOKUP($A72,'START HERE'!$A$13:$E$36,5,0)&amp;""</f>
        <v>DO NOT complete the Product and Infrastructure worksheets</v>
      </c>
      <c r="F72" s="207"/>
      <c r="G72" s="197" t="str">
        <f aca="false">VLOOKUP($A72,Questions!$A$2:$X$333,21,0)&amp;""</f>
        <v>Not scored</v>
      </c>
      <c r="H72" s="198"/>
      <c r="I72" s="199" t="str">
        <f aca="false">VLOOKUP($A72,Questions!$A$2:$X$333,23,0)&amp;""</f>
        <v/>
      </c>
      <c r="J72" s="198"/>
      <c r="K72" s="208" t="b">
        <f aca="false">FALSE()</f>
        <v>0</v>
      </c>
      <c r="L72" s="101"/>
      <c r="M72" s="1"/>
    </row>
    <row r="73" s="1" customFormat="true" ht="99.95" hidden="false" customHeight="false" outlineLevel="0" collapsed="false">
      <c r="A73" s="35" t="str">
        <f aca="false">'START HERE'!$A$30</f>
        <v>REQU-02</v>
      </c>
      <c r="B73" s="36" t="str">
        <f aca="false">VLOOKUP($A73,'START HERE'!$A$13:$E$36,2,0)&amp;""</f>
        <v>Does your product or service have an interface?</v>
      </c>
      <c r="C73" s="199" t="str">
        <f aca="false">VLOOKUP($A73,'START HERE'!$A$13:$E$36,3,0)&amp;""</f>
        <v>Yes</v>
      </c>
      <c r="D73" s="68" t="str">
        <f aca="false">IF(LEFT(VLOOKUP($A73,'START HERE'!$A$13:$E$36,5,0),21)='Auto Responses'!$A$32,'Auto Responses'!$A$33,VLOOKUP($A73,'START HERE'!$A$13:$E$36,4,0))&amp;""</f>
        <v>Yes, Qt GUI, CLI</v>
      </c>
      <c r="E73" s="206" t="str">
        <f aca="false">VLOOKUP($A73,'START HERE'!$A$13:$E$36,5,0)&amp;""</f>
        <v>DO complete the IT Accessibility worksheet.</v>
      </c>
      <c r="F73" s="209"/>
      <c r="G73" s="197" t="str">
        <f aca="false">VLOOKUP($A73,Questions!$A$2:$X$333,21,0)&amp;""</f>
        <v>Not scored</v>
      </c>
      <c r="H73" s="198"/>
      <c r="I73" s="199" t="str">
        <f aca="false">VLOOKUP($A73,Questions!$A$2:$X$333,23,0)&amp;""</f>
        <v/>
      </c>
      <c r="J73" s="198"/>
      <c r="K73" s="200" t="b">
        <f aca="false">FALSE()</f>
        <v>0</v>
      </c>
      <c r="L73" s="101"/>
      <c r="N73" s="176"/>
    </row>
    <row r="74" s="176" customFormat="true" ht="67.15" hidden="false" customHeight="false" outlineLevel="0" collapsed="false">
      <c r="A74" s="35" t="str">
        <f aca="false">'START HERE'!$A$31</f>
        <v>REQU-03</v>
      </c>
      <c r="B74" s="36" t="str">
        <f aca="false">VLOOKUP($A74,'START HERE'!$A$13:$E$36,2,0)&amp;""</f>
        <v>Are you providing consulting services?</v>
      </c>
      <c r="C74" s="199" t="str">
        <f aca="false">VLOOKUP($A74,'START HERE'!$A$13:$E$36,3,0)&amp;""</f>
        <v>No</v>
      </c>
      <c r="D74" s="68" t="str">
        <f aca="false">IF(LEFT(VLOOKUP($A74,'START HERE'!$A$13:$E$36,5,0),21)='Auto Responses'!$A$32,'Auto Responses'!$A$33,VLOOKUP($A74,'START HERE'!$A$13:$E$36,4,0))&amp;""</f>
        <v>QGIS.org is an association in charge of ensuring project is run in full transparency and democracy. External commercial companies may provide consulting services. </v>
      </c>
      <c r="E74" s="206" t="str">
        <f aca="false">VLOOKUP($A74,'START HERE'!$A$13:$E$36,5,0)&amp;""</f>
        <v>DO NOT complete the Consulting section in the Case-Specific worksheet</v>
      </c>
      <c r="F74" s="209"/>
      <c r="G74" s="197" t="str">
        <f aca="false">VLOOKUP($A74,Questions!$A$2:$X$333,21,0)&amp;""</f>
        <v>Not scored</v>
      </c>
      <c r="H74" s="198"/>
      <c r="I74" s="199" t="str">
        <f aca="false">VLOOKUP($A74,Questions!$A$2:$X$333,23,0)&amp;""</f>
        <v/>
      </c>
      <c r="J74" s="198"/>
      <c r="K74" s="200" t="b">
        <f aca="false">FALSE()</f>
        <v>0</v>
      </c>
      <c r="L74" s="101"/>
      <c r="M74" s="1"/>
    </row>
    <row r="75" s="176" customFormat="true" ht="67.15" hidden="false" customHeight="false" outlineLevel="0" collapsed="false">
      <c r="A75" s="35" t="str">
        <f aca="false">'START HERE'!$A$32</f>
        <v>REQU-04</v>
      </c>
      <c r="B75" s="36" t="str">
        <f aca="false">VLOOKUP($A75,'START HERE'!$A$13:$E$36,2,0)&amp;""</f>
        <v>Does your solution have AI features, or are there plans to implement AI features in the next 12 months?</v>
      </c>
      <c r="C75" s="199" t="str">
        <f aca="false">VLOOKUP($A75,'START HERE'!$A$13:$E$36,3,0)&amp;""</f>
        <v>No</v>
      </c>
      <c r="D75" s="68" t="str">
        <f aca="false">IF(LEFT(VLOOKUP($A75,'START HERE'!$A$13:$E$36,5,0),21)='Auto Responses'!$A$32,'Auto Responses'!$A$33,VLOOKUP($A75,'START HERE'!$A$13:$E$36,4,0))&amp;""</f>
        <v/>
      </c>
      <c r="E75" s="206" t="str">
        <f aca="false">VLOOKUP($A75,'START HERE'!$A$13:$E$36,5,0)&amp;""</f>
        <v>DO NOT complete the Artificial Intelligence (AI) worksheet</v>
      </c>
      <c r="F75" s="209"/>
      <c r="G75" s="197" t="str">
        <f aca="false">VLOOKUP($A75,Questions!$A$2:$X$333,21,0)&amp;""</f>
        <v>Not scored</v>
      </c>
      <c r="H75" s="198"/>
      <c r="I75" s="199" t="str">
        <f aca="false">VLOOKUP($A75,Questions!$A$2:$X$333,23,0)&amp;""</f>
        <v/>
      </c>
      <c r="J75" s="198"/>
      <c r="K75" s="200" t="b">
        <f aca="false">FALSE()</f>
        <v>0</v>
      </c>
      <c r="L75" s="101"/>
      <c r="M75" s="1"/>
    </row>
    <row r="76" s="176" customFormat="true" ht="99.95" hidden="false" customHeight="false" outlineLevel="0" collapsed="false">
      <c r="A76" s="35" t="str">
        <f aca="false">'START HERE'!$A$33</f>
        <v>REQU-05</v>
      </c>
      <c r="B76" s="36" t="str">
        <f aca="false">VLOOKUP($A76,'START HERE'!$A$13:$E$36,2,0)&amp;""</f>
        <v>Does your solution process protected health information (PHI) or any data covered by the Health Insurance Portability and Accountability Act (HIPAA)?</v>
      </c>
      <c r="C76" s="199" t="str">
        <f aca="false">VLOOKUP($A76,'START HERE'!$A$13:$E$36,3,0)&amp;""</f>
        <v>No</v>
      </c>
      <c r="D76" s="68" t="str">
        <f aca="false">IF(LEFT(VLOOKUP($A76,'START HERE'!$A$13:$E$36,5,0),21)='Auto Responses'!$A$32,'Auto Responses'!$A$33,VLOOKUP($A76,'START HERE'!$A$13:$E$36,4,0))&amp;""</f>
        <v/>
      </c>
      <c r="E76" s="206" t="str">
        <f aca="false">VLOOKUP($A76,'START HERE'!$A$13:$E$36,5,0)&amp;""</f>
        <v>DO NOT complete the HIPAA section in the Case-Specific worksheet</v>
      </c>
      <c r="F76" s="209"/>
      <c r="G76" s="197" t="str">
        <f aca="false">VLOOKUP($A76,Questions!$A$2:$X$333,21,0)&amp;""</f>
        <v>Not scored</v>
      </c>
      <c r="H76" s="198"/>
      <c r="I76" s="199" t="str">
        <f aca="false">VLOOKUP($A76,Questions!$A$2:$X$333,23,0)&amp;""</f>
        <v/>
      </c>
      <c r="J76" s="198"/>
      <c r="K76" s="200" t="b">
        <f aca="false">FALSE()</f>
        <v>0</v>
      </c>
      <c r="L76" s="101"/>
      <c r="M76" s="1"/>
    </row>
    <row r="77" s="176" customFormat="true" ht="99.95" hidden="false" customHeight="false" outlineLevel="0" collapsed="false">
      <c r="A77" s="35" t="str">
        <f aca="false">'START HERE'!$A$34</f>
        <v>REQU-06</v>
      </c>
      <c r="B77" s="36" t="str">
        <f aca="false">VLOOKUP($A77,'START HERE'!$A$13:$E$36,2,0)&amp;""</f>
        <v>Is the solution designed to process, store, or transmit credit card information?</v>
      </c>
      <c r="C77" s="199" t="str">
        <f aca="false">VLOOKUP($A77,'START HERE'!$A$13:$E$36,3,0)&amp;""</f>
        <v>No</v>
      </c>
      <c r="D77" s="68" t="str">
        <f aca="false">IF(LEFT(VLOOKUP($A77,'START HERE'!$A$13:$E$36,5,0),21)='Auto Responses'!$A$32,'Auto Responses'!$A$33,VLOOKUP($A77,'START HERE'!$A$13:$E$36,4,0))&amp;""</f>
        <v/>
      </c>
      <c r="E77" s="206" t="str">
        <f aca="false">VLOOKUP($A77,'START HERE'!$A$13:$E$36,5,0)&amp;""</f>
        <v>DO NOT complete the PCI-DSS section in the Case-Specific worksheet</v>
      </c>
      <c r="F77" s="209"/>
      <c r="G77" s="197" t="str">
        <f aca="false">VLOOKUP($A77,Questions!$A$2:$X$333,21,0)&amp;""</f>
        <v>Not scored</v>
      </c>
      <c r="H77" s="198"/>
      <c r="I77" s="199" t="str">
        <f aca="false">VLOOKUP($A77,Questions!$A$2:$X$333,23,0)&amp;""</f>
        <v/>
      </c>
      <c r="J77" s="198"/>
      <c r="K77" s="200" t="b">
        <f aca="false">FALSE()</f>
        <v>0</v>
      </c>
      <c r="L77" s="101"/>
      <c r="M77" s="1"/>
    </row>
    <row r="78" s="176" customFormat="true" ht="67.15" hidden="false" customHeight="false" outlineLevel="0" collapsed="false">
      <c r="A78" s="35" t="str">
        <f aca="false">'START HERE'!$A$35</f>
        <v>REQU-07</v>
      </c>
      <c r="B78" s="36" t="str">
        <f aca="false">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199" t="str">
        <f aca="false">VLOOKUP($A78,'START HERE'!$A$13:$E$36,3,0)&amp;""</f>
        <v>No</v>
      </c>
      <c r="D78" s="68" t="str">
        <f aca="false">IF(LEFT(VLOOKUP($A78,'START HERE'!$A$13:$E$36,5,0),21)='Auto Responses'!$A$32,'Auto Responses'!$A$33,VLOOKUP($A78,'START HERE'!$A$13:$E$36,4,0))&amp;""</f>
        <v/>
      </c>
      <c r="E78" s="206" t="str">
        <f aca="false">VLOOKUP($A78,'START HERE'!$A$13:$E$36,5,0)&amp;""</f>
        <v>DO NOT complete the On-Prem section in the Case-Specific worksheet</v>
      </c>
      <c r="F78" s="209"/>
      <c r="G78" s="197" t="str">
        <f aca="false">VLOOKUP($A78,Questions!$A$2:$X$333,21,0)&amp;""</f>
        <v>Not scored</v>
      </c>
      <c r="H78" s="198"/>
      <c r="I78" s="199" t="str">
        <f aca="false">VLOOKUP($A78,Questions!$A$2:$X$333,23,0)&amp;""</f>
        <v/>
      </c>
      <c r="J78" s="198"/>
      <c r="K78" s="200" t="b">
        <f aca="false">FALSE()</f>
        <v>0</v>
      </c>
      <c r="L78" s="101"/>
      <c r="M78" s="1"/>
    </row>
    <row r="79" s="176" customFormat="true" ht="83.55" hidden="false" customHeight="false" outlineLevel="0" collapsed="false">
      <c r="A79" s="35" t="str">
        <f aca="false">'START HERE'!$A$36</f>
        <v>REQU-08</v>
      </c>
      <c r="B79" s="36" t="str">
        <f aca="false">VLOOKUP($A79,'START HERE'!$A$13:$E$36,2,0)&amp;""</f>
        <v>Does your solution have access to personal or institutional data?</v>
      </c>
      <c r="C79" s="199" t="str">
        <f aca="false">VLOOKUP($A79,'START HERE'!$A$13:$E$36,3,0)&amp;""</f>
        <v>No</v>
      </c>
      <c r="D79" s="68" t="str">
        <f aca="false">IF(LEFT(VLOOKUP($A79,'START HERE'!$A$13:$E$36,5,0),21)='Auto Responses'!$A$32,'Auto Responses'!$A$33,VLOOKUP($A79,'START HERE'!$A$13:$E$36,4,0))&amp;""</f>
        <v/>
      </c>
      <c r="E79" s="206" t="str">
        <f aca="false">VLOOKUP($A79,'START HERE'!$A$13:$E$36,5,0)&amp;""</f>
        <v>DO NOT complete the Privacy tab</v>
      </c>
      <c r="F79" s="210"/>
      <c r="G79" s="197" t="str">
        <f aca="false">VLOOKUP($A79,Questions!$A$2:$X$333,21,0)&amp;""</f>
        <v>Not scored</v>
      </c>
      <c r="H79" s="198"/>
      <c r="I79" s="199" t="str">
        <f aca="false">VLOOKUP($A79,Questions!$A$2:$X$333,23,0)&amp;""</f>
        <v/>
      </c>
      <c r="J79" s="198"/>
      <c r="K79" s="211" t="b">
        <f aca="false">FALSE()</f>
        <v>0</v>
      </c>
      <c r="L79" s="101"/>
      <c r="M79" s="1"/>
    </row>
    <row r="80" s="176" customFormat="true" ht="17.9" hidden="false" customHeight="false" outlineLevel="0" collapsed="false">
      <c r="A80" s="31" t="str">
        <f aca="false">VLOOKUP(LEFT($A81,4),'Auto Responses'!$N$4:$O$38,2,0)&amp;""</f>
        <v> Documentation</v>
      </c>
      <c r="B80" s="42"/>
      <c r="C80" s="43"/>
      <c r="D80" s="43"/>
      <c r="E80" s="204"/>
      <c r="F80" s="192" t="s">
        <v>454</v>
      </c>
      <c r="G80" s="201" t="s">
        <v>449</v>
      </c>
      <c r="H80" s="201" t="s">
        <v>450</v>
      </c>
      <c r="I80" s="201" t="s">
        <v>451</v>
      </c>
      <c r="J80" s="201" t="s">
        <v>452</v>
      </c>
      <c r="K80" s="43"/>
      <c r="L80" s="1"/>
      <c r="M80" s="1"/>
      <c r="N80" s="1"/>
    </row>
    <row r="81" s="1" customFormat="true" ht="31.3" hidden="false" customHeight="false" outlineLevel="0" collapsed="false">
      <c r="A81" s="35" t="str">
        <f aca="false">Organization!$A$22</f>
        <v>DOCU-01</v>
      </c>
      <c r="B81" s="36" t="str">
        <f aca="false">VLOOKUP($A81,Organization!$A$13:$E$67,2,0)&amp;""</f>
        <v>Do you have a well-documented business continuity plan (BCP), with a clear owner, that is tested annually?*</v>
      </c>
      <c r="C81" s="199" t="str">
        <f aca="false">VLOOKUP($A81,Organization!$A$13:$E$67,3,0)&amp;""</f>
        <v>No</v>
      </c>
      <c r="D81" s="68" t="str">
        <f aca="false">IF(LEFT(VLOOKUP($A81,Organization!$A$13:$E$67,5,0),21)='Auto Responses'!$A$32,'Auto Responses'!$A$33,VLOOKUP($A81,Organization!$A$13:$E$67,4,0))&amp;""</f>
        <v>NA – we don’t provide online service</v>
      </c>
      <c r="E81" s="206" t="str">
        <f aca="false">VLOOKUP($A81,Organization!$A$13:$E$67,5,0)&amp;""</f>
        <v/>
      </c>
      <c r="F81" s="212"/>
      <c r="G81" s="197" t="str">
        <f aca="false">VLOOKUP($A81,Questions!$A$2:$X$333,21,0)&amp;""</f>
        <v>Yes</v>
      </c>
      <c r="H81" s="198"/>
      <c r="I81" s="199" t="str">
        <f aca="false">VLOOKUP($A81,Questions!$A$2:$X$333,23,0)&amp;""</f>
        <v>Critical Importance</v>
      </c>
      <c r="J81" s="198"/>
      <c r="K81" s="200" t="b">
        <f aca="false">FALSE()</f>
        <v>0</v>
      </c>
      <c r="M81" s="176"/>
      <c r="N81" s="176"/>
    </row>
    <row r="82" s="176" customFormat="true" ht="31.3" hidden="false" customHeight="false" outlineLevel="0" collapsed="false">
      <c r="A82" s="35" t="str">
        <f aca="false">Organization!$A$23</f>
        <v>DOCU-02</v>
      </c>
      <c r="B82" s="36" t="str">
        <f aca="false">VLOOKUP($A82,Organization!$A$13:$E$67,2,0)&amp;""</f>
        <v>Do you have a well-documented disaster recovery plan (DRP), with a clear owner, that is tested annually?*</v>
      </c>
      <c r="C82" s="199" t="str">
        <f aca="false">VLOOKUP($A82,Organization!$A$13:$E$67,3,0)&amp;""</f>
        <v>No</v>
      </c>
      <c r="D82" s="68" t="str">
        <f aca="false">IF(LEFT(VLOOKUP($A82,Organization!$A$13:$E$67,5,0),21)='Auto Responses'!$A$32,'Auto Responses'!$A$33,VLOOKUP($A82,Organization!$A$13:$E$67,4,0))&amp;""</f>
        <v>NA – we don’t provide online service</v>
      </c>
      <c r="E82" s="206" t="str">
        <f aca="false">VLOOKUP($A82,Organization!$A$13:$E$67,5,0)&amp;""</f>
        <v/>
      </c>
      <c r="F82" s="212"/>
      <c r="G82" s="197" t="str">
        <f aca="false">VLOOKUP($A82,Questions!$A$2:$X$333,21,0)&amp;""</f>
        <v>Yes</v>
      </c>
      <c r="H82" s="198"/>
      <c r="I82" s="199" t="str">
        <f aca="false">VLOOKUP($A82,Questions!$A$2:$X$333,23,0)&amp;""</f>
        <v>Critical Importance</v>
      </c>
      <c r="J82" s="198"/>
      <c r="K82" s="200" t="b">
        <f aca="false">FALSE()</f>
        <v>0</v>
      </c>
      <c r="L82" s="1"/>
    </row>
    <row r="83" s="176" customFormat="true" ht="17.9" hidden="false" customHeight="false" outlineLevel="0" collapsed="false">
      <c r="A83" s="35" t="str">
        <f aca="false">Organization!$A$24</f>
        <v>DOCU-03</v>
      </c>
      <c r="B83" s="36" t="str">
        <f aca="false">VLOOKUP($A83,Organization!$A$13:$E$67,2,0)&amp;""</f>
        <v>Have you undergone a SSAE 18/SOC 2 audit?</v>
      </c>
      <c r="C83" s="199" t="str">
        <f aca="false">VLOOKUP($A83,Organization!$A$13:$E$67,3,0)&amp;""</f>
        <v>No</v>
      </c>
      <c r="D83" s="68" t="str">
        <f aca="false">IF(LEFT(VLOOKUP($A83,Organization!$A$13:$E$67,5,0),21)='Auto Responses'!$A$32,'Auto Responses'!$A$33,VLOOKUP($A83,Organization!$A$13:$E$67,4,0))&amp;""</f>
        <v>NA – we don’t provide online service</v>
      </c>
      <c r="E83" s="206" t="str">
        <f aca="false">VLOOKUP($A83,Organization!$A$13:$E$67,5,0)&amp;""</f>
        <v>Describe any plans to undergo a SSAE 18 audit.</v>
      </c>
      <c r="F83" s="212"/>
      <c r="G83" s="197" t="str">
        <f aca="false">VLOOKUP($A83,Questions!$A$2:$X$333,21,0)&amp;""</f>
        <v>Yes</v>
      </c>
      <c r="H83" s="198"/>
      <c r="I83" s="199" t="str">
        <f aca="false">VLOOKUP($A83,Questions!$A$2:$X$333,23,0)&amp;""</f>
        <v>Standard Importance</v>
      </c>
      <c r="J83" s="198"/>
      <c r="K83" s="200" t="b">
        <f aca="false">FALSE()</f>
        <v>0</v>
      </c>
      <c r="L83" s="1"/>
    </row>
    <row r="84" s="176" customFormat="true" ht="31.3" hidden="false" customHeight="false" outlineLevel="0" collapsed="false">
      <c r="A84" s="35" t="str">
        <f aca="false">Organization!$A$25</f>
        <v>DOCU-04</v>
      </c>
      <c r="B84" s="36" t="str">
        <f aca="false">VLOOKUP($A84,Organization!$A$13:$E$67,2,0)&amp;""</f>
        <v>Do you conform with a specific industry standard security framework (e.g., NIST Cybersecurity Framework, CIS Controls, ISO 27001, etc.)?</v>
      </c>
      <c r="C84" s="199" t="str">
        <f aca="false">VLOOKUP($A84,Organization!$A$13:$E$67,3,0)&amp;""</f>
        <v>No</v>
      </c>
      <c r="D84" s="68" t="str">
        <f aca="false">IF(LEFT(VLOOKUP($A84,Organization!$A$13:$E$67,5,0),21)='Auto Responses'!$A$32,'Auto Responses'!$A$33,VLOOKUP($A84,Organization!$A$13:$E$67,4,0))&amp;""</f>
        <v>NA – we don’t provide online service</v>
      </c>
      <c r="E84" s="206" t="str">
        <f aca="false">VLOOKUP($A84,Organization!$A$13:$E$67,5,0)&amp;""</f>
        <v>Describe any plans to conform to an industry standard security framework.</v>
      </c>
      <c r="F84" s="212"/>
      <c r="G84" s="197" t="str">
        <f aca="false">VLOOKUP($A84,Questions!$A$2:$X$333,21,0)&amp;""</f>
        <v>Yes</v>
      </c>
      <c r="H84" s="198"/>
      <c r="I84" s="199" t="str">
        <f aca="false">VLOOKUP($A84,Questions!$A$2:$X$333,23,0)&amp;""</f>
        <v>Standard Importance</v>
      </c>
      <c r="J84" s="198"/>
      <c r="K84" s="200" t="b">
        <f aca="false">FALSE()</f>
        <v>0</v>
      </c>
      <c r="L84" s="1"/>
    </row>
    <row r="85" s="176" customFormat="true" ht="46.25" hidden="false" customHeight="false" outlineLevel="0" collapsed="false">
      <c r="A85" s="35" t="str">
        <f aca="false">Organization!$A$26</f>
        <v>DOCU-05</v>
      </c>
      <c r="B85" s="36" t="str">
        <f aca="false">VLOOKUP($A85,Organization!$A$13:$E$67,2,0)&amp;""</f>
        <v>Can you provide overall system and/or application architecture diagrams, including a full description of the data flow for all components of the system?</v>
      </c>
      <c r="C85" s="199" t="str">
        <f aca="false">VLOOKUP($A85,Organization!$A$13:$E$67,3,0)&amp;""</f>
        <v>Yes</v>
      </c>
      <c r="D85" s="68" t="str">
        <f aca="false">IF(LEFT(VLOOKUP($A85,Organization!$A$13:$E$67,5,0),21)='Auto Responses'!$A$32,'Auto Responses'!$A$33,VLOOKUP($A85,Organization!$A$13:$E$67,4,0))&amp;""</f>
        <v>All source code, documentation are online </v>
      </c>
      <c r="E85" s="206" t="str">
        <f aca="false">VLOOKUP($A85,Organization!$A$13:$E$67,5,0)&amp;""</f>
        <v>Provide your diagrams (or a valid link to it) upon submission.</v>
      </c>
      <c r="F85" s="212"/>
      <c r="G85" s="197" t="str">
        <f aca="false">VLOOKUP($A85,Questions!$A$2:$X$333,21,0)&amp;""</f>
        <v>Yes</v>
      </c>
      <c r="H85" s="198"/>
      <c r="I85" s="199" t="str">
        <f aca="false">VLOOKUP($A85,Questions!$A$2:$X$333,23,0)&amp;""</f>
        <v>Standard Importance</v>
      </c>
      <c r="J85" s="198"/>
      <c r="K85" s="200" t="b">
        <f aca="false">FALSE()</f>
        <v>0</v>
      </c>
      <c r="L85" s="1"/>
    </row>
    <row r="86" s="176" customFormat="true" ht="17.9" hidden="false" customHeight="false" outlineLevel="0" collapsed="false">
      <c r="A86" s="35" t="str">
        <f aca="false">Organization!$A$27</f>
        <v>DOCU-06</v>
      </c>
      <c r="B86" s="36" t="str">
        <f aca="false">VLOOKUP($A86,Organization!$A$13:$E$67,2,0)&amp;""</f>
        <v>Does your organization have a data privacy policy?</v>
      </c>
      <c r="C86" s="199" t="str">
        <f aca="false">VLOOKUP($A86,Organization!$A$13:$E$67,3,0)&amp;""</f>
        <v>No</v>
      </c>
      <c r="D86" s="68" t="str">
        <f aca="false">IF(LEFT(VLOOKUP($A86,Organization!$A$13:$E$67,5,0),21)='Auto Responses'!$A$32,'Auto Responses'!$A$33,VLOOKUP($A86,Organization!$A$13:$E$67,4,0))&amp;""</f>
        <v>We don’t handle private information </v>
      </c>
      <c r="E86" s="206" t="str">
        <f aca="false">VLOOKUP($A86,Organization!$A$13:$E$67,5,0)&amp;""</f>
        <v>Describe your plans to create a data privacy policy.</v>
      </c>
      <c r="F86" s="212"/>
      <c r="G86" s="197" t="str">
        <f aca="false">VLOOKUP($A86,Questions!$A$2:$X$333,21,0)&amp;""</f>
        <v>Yes</v>
      </c>
      <c r="H86" s="198"/>
      <c r="I86" s="199" t="str">
        <f aca="false">VLOOKUP($A86,Questions!$A$2:$X$333,23,0)&amp;""</f>
        <v>Standard Importance</v>
      </c>
      <c r="J86" s="198"/>
      <c r="K86" s="200" t="b">
        <f aca="false">FALSE()</f>
        <v>0</v>
      </c>
      <c r="L86" s="1"/>
    </row>
    <row r="87" s="1" customFormat="true" ht="31.3" hidden="false" customHeight="false" outlineLevel="0" collapsed="false">
      <c r="A87" s="35" t="str">
        <f aca="false">Organization!$A$28</f>
        <v>DOCU-07</v>
      </c>
      <c r="B87" s="36" t="str">
        <f aca="false">VLOOKUP($A87,Organization!$A$13:$E$67,2,0)&amp;""</f>
        <v>Do you have a documented, and currently implemented, employee onboarding and offboarding policy?</v>
      </c>
      <c r="C87" s="199" t="str">
        <f aca="false">VLOOKUP($A87,Organization!$A$13:$E$67,3,0)&amp;""</f>
        <v>Yes</v>
      </c>
      <c r="D87" s="68" t="str">
        <f aca="false">IF(LEFT(VLOOKUP($A87,Organization!$A$13:$E$67,5,0),21)='Auto Responses'!$A$32,'Auto Responses'!$A$33,VLOOKUP($A87,Organization!$A$13:$E$67,4,0))&amp;""</f>
        <v>QGIS.org has 2 employees and a benevolent staff of 6, with the help of more than 40 active members. Most of the work is provided by commercial companies hosting developpers and contributors. They have such policies.</v>
      </c>
      <c r="E87" s="206" t="str">
        <f aca="false">VLOOKUP($A87,Organization!$A$13:$E$67,5,0)&amp;""</f>
        <v>Provide a reference to your employee onboarding and offboarding policy and supporting documentation or submit it along with this fully populated HECVAT.</v>
      </c>
      <c r="F87" s="212"/>
      <c r="G87" s="197" t="str">
        <f aca="false">VLOOKUP($A87,Questions!$A$2:$X$333,21,0)&amp;""</f>
        <v>Yes</v>
      </c>
      <c r="H87" s="198"/>
      <c r="I87" s="199" t="str">
        <f aca="false">VLOOKUP($A87,Questions!$A$2:$X$333,23,0)&amp;""</f>
        <v>Standard Importance</v>
      </c>
      <c r="J87" s="198"/>
      <c r="K87" s="200" t="b">
        <f aca="false">FALSE()</f>
        <v>0</v>
      </c>
      <c r="M87" s="176"/>
      <c r="N87" s="176"/>
    </row>
    <row r="88" s="176" customFormat="true" ht="17.9" hidden="false" customHeight="false" outlineLevel="0" collapsed="false">
      <c r="A88" s="31" t="str">
        <f aca="false">VLOOKUP(LEFT($A89,4),'Auto Responses'!$N$4:$O$38,2,0)&amp;""</f>
        <v> Assessment of Third Parties</v>
      </c>
      <c r="B88" s="42"/>
      <c r="C88" s="43"/>
      <c r="D88" s="43"/>
      <c r="E88" s="204"/>
      <c r="F88" s="192" t="s">
        <v>454</v>
      </c>
      <c r="G88" s="201" t="s">
        <v>449</v>
      </c>
      <c r="H88" s="201" t="s">
        <v>450</v>
      </c>
      <c r="I88" s="201" t="s">
        <v>451</v>
      </c>
      <c r="J88" s="201" t="s">
        <v>452</v>
      </c>
      <c r="K88" s="43"/>
      <c r="L88" s="1"/>
      <c r="M88" s="1"/>
      <c r="N88" s="1"/>
    </row>
    <row r="89" s="176" customFormat="true" ht="67.15" hidden="false" customHeight="false" outlineLevel="0" collapsed="false">
      <c r="A89" s="35" t="str">
        <f aca="false">Organization!$A$30</f>
        <v>THRD-01</v>
      </c>
      <c r="B89" s="36" t="str">
        <f aca="false">VLOOKUP($A89,Organization!$A$13:$E$67,2,0)&amp;""</f>
        <v>Do you perform security assessments of third-party companies with which you share data (e.g., hosting providers, cloud services, PaaS, IaaS, SaaS)?*</v>
      </c>
      <c r="C89" s="199" t="str">
        <f aca="false">VLOOKUP($A89,Organization!$A$13:$E$67,3,0)&amp;""</f>
        <v>No</v>
      </c>
      <c r="D89" s="68" t="str">
        <f aca="false">IF(LEFT(VLOOKUP($A89,Organization!$A$13:$E$67,5,0),21)='Auto Responses'!$A$32,'Auto Responses'!$A$33,VLOOKUP($A89,Organization!$A$13:$E$67,4,0))&amp;""</f>
        <v>We don’t share data</v>
      </c>
      <c r="E89" s="206" t="str">
        <f aca="false">VLOOKUP($A89,Organization!$A$13:$E$67,5,0)&amp;""</f>
        <v>State your plans to perform security assessments of third-party companies.</v>
      </c>
      <c r="F89" s="212"/>
      <c r="G89" s="197" t="str">
        <f aca="false">VLOOKUP($A89,Questions!$A$2:$X$333,21,0)&amp;""</f>
        <v>Yes</v>
      </c>
      <c r="H89" s="198"/>
      <c r="I89" s="199" t="str">
        <f aca="false">VLOOKUP($A89,Questions!$A$2:$X$333,23,0)&amp;""</f>
        <v>Critical Importance</v>
      </c>
      <c r="J89" s="198"/>
      <c r="K89" s="200" t="b">
        <f aca="false">FALSE()</f>
        <v>0</v>
      </c>
      <c r="L89" s="1"/>
    </row>
    <row r="90" s="176" customFormat="true" ht="99.95" hidden="false" customHeight="false" outlineLevel="0" collapsed="false">
      <c r="A90" s="35" t="str">
        <f aca="false">Organization!$A$31</f>
        <v>THRD-02</v>
      </c>
      <c r="B90" s="36" t="str">
        <f aca="false">VLOOKUP($A90,Organization!$A$13:$E$67,2,0)&amp;""</f>
        <v>Do you have contractual language in place with third parties governing access to institutional data?*</v>
      </c>
      <c r="C90" s="199" t="str">
        <f aca="false">VLOOKUP($A90,Organization!$A$13:$E$67,3,0)&amp;""</f>
        <v>No</v>
      </c>
      <c r="D90" s="68" t="str">
        <f aca="false">IF(LEFT(VLOOKUP($A90,Organization!$A$13:$E$67,5,0),21)='Auto Responses'!$A$32,'Auto Responses'!$A$33,VLOOKUP($A90,Organization!$A$13:$E$67,4,0))&amp;""</f>
        <v>Users stay in full ownership of their data. </v>
      </c>
      <c r="E90" s="206" t="str">
        <f aca="false">VLOOKUP($A90,Organization!$A$13:$E$67,5,0)&amp;""</f>
        <v>List each third party and why institutional data is shared with them. Format example: [Third Party Name] - Reason</v>
      </c>
      <c r="F90" s="212"/>
      <c r="G90" s="197" t="str">
        <f aca="false">VLOOKUP($A90,Questions!$A$2:$X$333,21,0)&amp;""</f>
        <v>Yes</v>
      </c>
      <c r="H90" s="198"/>
      <c r="I90" s="199" t="str">
        <f aca="false">VLOOKUP($A90,Questions!$A$2:$X$333,23,0)&amp;""</f>
        <v>Critical Importance</v>
      </c>
      <c r="J90" s="198"/>
      <c r="K90" s="200" t="b">
        <f aca="false">FALSE()</f>
        <v>0</v>
      </c>
      <c r="L90" s="1"/>
    </row>
    <row r="91" s="176" customFormat="true" ht="31.3" hidden="false" customHeight="false" outlineLevel="0" collapsed="false">
      <c r="A91" s="35" t="str">
        <f aca="false">Organization!$A$32</f>
        <v>THRD-03</v>
      </c>
      <c r="B91" s="36" t="str">
        <f aca="false">VLOOKUP($A91,Organization!$A$13:$E$67,2,0)&amp;""</f>
        <v>Do the contracts in place with these third parties address liability in the event of a data breach?*</v>
      </c>
      <c r="C91" s="199" t="str">
        <f aca="false">VLOOKUP($A91,Organization!$A$13:$E$67,3,0)&amp;""</f>
        <v>No</v>
      </c>
      <c r="D91" s="68" t="str">
        <f aca="false">IF(LEFT(VLOOKUP($A91,Organization!$A$13:$E$67,5,0),21)='Auto Responses'!$A$32,'Auto Responses'!$A$33,VLOOKUP($A91,Organization!$A$13:$E$67,4,0))&amp;""</f>
        <v>NA</v>
      </c>
      <c r="E91" s="206" t="str">
        <f aca="false">VLOOKUP($A91,Organization!$A$13:$E$67,5,0)&amp;""</f>
        <v/>
      </c>
      <c r="F91" s="212"/>
      <c r="G91" s="197" t="str">
        <f aca="false">VLOOKUP($A91,Questions!$A$2:$X$333,21,0)&amp;""</f>
        <v>Yes</v>
      </c>
      <c r="H91" s="198"/>
      <c r="I91" s="199" t="str">
        <f aca="false">VLOOKUP($A91,Questions!$A$2:$X$333,23,0)&amp;""</f>
        <v>Critical Importance</v>
      </c>
      <c r="J91" s="198"/>
      <c r="K91" s="200" t="b">
        <f aca="false">FALSE()</f>
        <v>0</v>
      </c>
      <c r="L91" s="1"/>
    </row>
    <row r="92" s="176" customFormat="true" ht="99.95" hidden="false" customHeight="false" outlineLevel="0" collapsed="false">
      <c r="A92" s="35" t="str">
        <f aca="false">Organization!$A$33</f>
        <v>THRD-04</v>
      </c>
      <c r="B92" s="36" t="str">
        <f aca="false">VLOOKUP($A92,Organization!$A$13:$E$67,2,0)&amp;""</f>
        <v>Do you have an implemented third-party management strategy?*</v>
      </c>
      <c r="C92" s="199" t="str">
        <f aca="false">VLOOKUP($A92,Organization!$A$13:$E$67,3,0)&amp;""</f>
        <v>No</v>
      </c>
      <c r="D92" s="68" t="str">
        <f aca="false">IF(LEFT(VLOOKUP($A92,Organization!$A$13:$E$67,5,0),21)='Auto Responses'!$A$32,'Auto Responses'!$A$33,VLOOKUP($A92,Organization!$A$13:$E$67,4,0))&amp;""</f>
        <v>NA </v>
      </c>
      <c r="E92" s="206" t="str">
        <f aca="false">VLOOKUP($A92,Organization!$A$13:$E$67,5,0)&amp;""</f>
        <v>State your plans to implement a third-party management strategy.</v>
      </c>
      <c r="F92" s="212"/>
      <c r="G92" s="197" t="str">
        <f aca="false">VLOOKUP($A92,Questions!$A$2:$X$333,21,0)&amp;""</f>
        <v>Yes</v>
      </c>
      <c r="H92" s="198"/>
      <c r="I92" s="199" t="str">
        <f aca="false">VLOOKUP($A92,Questions!$A$2:$X$333,23,0)&amp;""</f>
        <v>Critical Importance</v>
      </c>
      <c r="J92" s="198"/>
      <c r="K92" s="200" t="b">
        <f aca="false">FALSE()</f>
        <v>0</v>
      </c>
      <c r="L92" s="1"/>
    </row>
    <row r="93" s="176" customFormat="true" ht="67.15" hidden="false" customHeight="false" outlineLevel="0" collapsed="false">
      <c r="A93" s="35" t="str">
        <f aca="false">Organization!$A$34</f>
        <v>THRD-05</v>
      </c>
      <c r="B93" s="36" t="str">
        <f aca="false">VLOOKUP($A93,Organization!$A$13:$E$67,2,0)&amp;""</f>
        <v>Do you have a process and implemented procedures for managing your hardware supply chain (e.g., telecommunications equipment, export licensing, computing devices)?</v>
      </c>
      <c r="C93" s="199" t="str">
        <f aca="false">VLOOKUP($A93,Organization!$A$13:$E$67,3,0)&amp;""</f>
        <v>No</v>
      </c>
      <c r="D93" s="68" t="str">
        <f aca="false">IF(LEFT(VLOOKUP($A93,Organization!$A$13:$E$67,5,0),21)='Auto Responses'!$A$32,'Auto Responses'!$A$33,VLOOKUP($A93,Organization!$A$13:$E$67,4,0))&amp;""</f>
        <v>NA </v>
      </c>
      <c r="E93" s="206" t="str">
        <f aca="false">VLOOKUP($A93,Organization!$A$13:$E$67,5,0)&amp;""</f>
        <v>State your plans to create a process and implemented procedures for managing your hardware supply chain.</v>
      </c>
      <c r="F93" s="212"/>
      <c r="G93" s="197" t="str">
        <f aca="false">VLOOKUP($A93,Questions!$A$2:$X$333,21,0)&amp;""</f>
        <v>Yes</v>
      </c>
      <c r="H93" s="198"/>
      <c r="I93" s="199" t="str">
        <f aca="false">VLOOKUP($A93,Questions!$A$2:$X$333,23,0)&amp;""</f>
        <v>Standard Importance</v>
      </c>
      <c r="J93" s="198"/>
      <c r="K93" s="200" t="b">
        <f aca="false">FALSE()</f>
        <v>0</v>
      </c>
      <c r="L93" s="1"/>
    </row>
    <row r="94" s="176" customFormat="true" ht="17.9" hidden="false" customHeight="false" outlineLevel="0" collapsed="false">
      <c r="A94" s="31" t="str">
        <f aca="false">VLOOKUP(LEFT($A95,4),'Auto Responses'!$N$4:$O$38,2,0)&amp;""</f>
        <v> Change Management</v>
      </c>
      <c r="B94" s="42"/>
      <c r="C94" s="43"/>
      <c r="D94" s="43"/>
      <c r="E94" s="204"/>
      <c r="F94" s="192" t="s">
        <v>454</v>
      </c>
      <c r="G94" s="201" t="s">
        <v>449</v>
      </c>
      <c r="H94" s="201" t="s">
        <v>450</v>
      </c>
      <c r="I94" s="201" t="s">
        <v>451</v>
      </c>
      <c r="J94" s="201" t="s">
        <v>452</v>
      </c>
      <c r="K94" s="43"/>
      <c r="L94" s="1"/>
      <c r="M94" s="1"/>
      <c r="N94" s="1"/>
    </row>
    <row r="95" s="176" customFormat="true" ht="31.3" hidden="false" customHeight="false" outlineLevel="0" collapsed="false">
      <c r="A95" s="35" t="str">
        <f aca="false">Organization!$A$36</f>
        <v>CHNG-01</v>
      </c>
      <c r="B95" s="36" t="str">
        <f aca="false">VLOOKUP($A95,Organization!$A$13:$E$67,2,0)&amp;""</f>
        <v>Will the institution be notified of major changes to your environment that could impact the institution's security posture?*</v>
      </c>
      <c r="C95" s="199" t="str">
        <f aca="false">VLOOKUP($A95,Organization!$A$13:$E$67,3,0)&amp;""</f>
        <v>No</v>
      </c>
      <c r="D95" s="68" t="str">
        <f aca="false">IF(LEFT(VLOOKUP($A95,Organization!$A$13:$E$67,5,0),21)='Auto Responses'!$A$32,'Auto Responses'!$A$33,VLOOKUP($A95,Organization!$A$13:$E$67,4,0))&amp;""</f>
        <v>NA</v>
      </c>
      <c r="E95" s="206" t="str">
        <f aca="false">VLOOKUP($A95,Organization!$A$13:$E$67,5,0)&amp;""</f>
        <v>Describe plans to establish a notification mechanism for major environmental changes.</v>
      </c>
      <c r="F95" s="212"/>
      <c r="G95" s="197" t="str">
        <f aca="false">VLOOKUP($A95,Questions!$A$2:$X$333,21,0)&amp;""</f>
        <v>Yes</v>
      </c>
      <c r="H95" s="198"/>
      <c r="I95" s="199" t="str">
        <f aca="false">VLOOKUP($A95,Questions!$A$2:$X$333,23,0)&amp;""</f>
        <v>Critical Importance</v>
      </c>
      <c r="J95" s="198"/>
      <c r="K95" s="200" t="b">
        <f aca="false">FALSE()</f>
        <v>0</v>
      </c>
      <c r="L95" s="1"/>
    </row>
    <row r="96" s="176" customFormat="true" ht="99.95" hidden="false" customHeight="false" outlineLevel="0" collapsed="false">
      <c r="A96" s="35" t="str">
        <f aca="false">Organization!$A$37</f>
        <v>CHNG-02</v>
      </c>
      <c r="B96" s="36" t="str">
        <f aca="false">VLOOKUP($A96,Organization!$A$13:$E$67,2,0)&amp;""</f>
        <v>Does the system support client customizations from one release to another?*</v>
      </c>
      <c r="C96" s="199" t="str">
        <f aca="false">VLOOKUP($A96,Organization!$A$13:$E$67,3,0)&amp;""</f>
        <v>yes</v>
      </c>
      <c r="D96" s="68" t="str">
        <f aca="false">IF(LEFT(VLOOKUP($A96,Organization!$A$13:$E$67,5,0),21)='Auto Responses'!$A$32,'Auto Responses'!$A$33,VLOOKUP($A96,Organization!$A$13:$E$67,4,0))&amp;""</f>
        <v>We follow a strict rule for deprecations and API breaks. </v>
      </c>
      <c r="E96" s="206" t="str">
        <f aca="false">VLOOKUP($A96,Organization!$A$13:$E$67,5,0)&amp;""</f>
        <v>Describe or provide reference to your solution support strategy in regard to maintaining client customizations from one release to another.</v>
      </c>
      <c r="F96" s="212"/>
      <c r="G96" s="197" t="str">
        <f aca="false">VLOOKUP($A96,Questions!$A$2:$X$333,21,0)&amp;""</f>
        <v>Yes</v>
      </c>
      <c r="H96" s="198"/>
      <c r="I96" s="199" t="str">
        <f aca="false">VLOOKUP($A96,Questions!$A$2:$X$333,23,0)&amp;""</f>
        <v>Critical Importance</v>
      </c>
      <c r="J96" s="198"/>
      <c r="K96" s="200" t="b">
        <f aca="false">FALSE()</f>
        <v>0</v>
      </c>
      <c r="L96" s="1"/>
    </row>
    <row r="97" s="176" customFormat="true" ht="31.3" hidden="false" customHeight="false" outlineLevel="0" collapsed="false">
      <c r="A97" s="35" t="str">
        <f aca="false">Organization!$A$38</f>
        <v>CHNG-03</v>
      </c>
      <c r="B97" s="36" t="str">
        <f aca="false">VLOOKUP($A97,Organization!$A$13:$E$67,2,0)&amp;""</f>
        <v>Do you have an implemented system configuration management process (e.g.,secure "gold" images, etc.)?*</v>
      </c>
      <c r="C97" s="199" t="str">
        <f aca="false">VLOOKUP($A97,Organization!$A$13:$E$67,3,0)&amp;""</f>
        <v>No</v>
      </c>
      <c r="D97" s="68" t="str">
        <f aca="false">IF(LEFT(VLOOKUP($A97,Organization!$A$13:$E$67,5,0),21)='Auto Responses'!$A$32,'Auto Responses'!$A$33,VLOOKUP($A97,Organization!$A$13:$E$67,4,0))&amp;""</f>
        <v>NA</v>
      </c>
      <c r="E97" s="206" t="str">
        <f aca="false">VLOOKUP($A97,Organization!$A$13:$E$67,5,0)&amp;""</f>
        <v>Describe how system configuration management is currently handled in your environment.</v>
      </c>
      <c r="F97" s="212"/>
      <c r="G97" s="197" t="str">
        <f aca="false">VLOOKUP($A97,Questions!$A$2:$X$333,21,0)&amp;""</f>
        <v>Yes</v>
      </c>
      <c r="H97" s="198"/>
      <c r="I97" s="199" t="str">
        <f aca="false">VLOOKUP($A97,Questions!$A$2:$X$333,23,0)&amp;""</f>
        <v>Critical Importance</v>
      </c>
      <c r="J97" s="198"/>
      <c r="K97" s="200" t="b">
        <f aca="false">FALSE()</f>
        <v>0</v>
      </c>
      <c r="L97" s="1"/>
    </row>
    <row r="98" s="176" customFormat="true" ht="17.9" hidden="false" customHeight="false" outlineLevel="0" collapsed="false">
      <c r="A98" s="35" t="str">
        <f aca="false">Organization!$A$39</f>
        <v>CHNG-04</v>
      </c>
      <c r="B98" s="36" t="str">
        <f aca="false">VLOOKUP($A98,Organization!$A$13:$E$67,2,0)&amp;""</f>
        <v>Do you have a documented change management process?</v>
      </c>
      <c r="C98" s="199" t="str">
        <f aca="false">VLOOKUP($A98,Organization!$A$13:$E$67,3,0)&amp;""</f>
        <v>No</v>
      </c>
      <c r="D98" s="68" t="str">
        <f aca="false">IF(LEFT(VLOOKUP($A98,Organization!$A$13:$E$67,5,0),21)='Auto Responses'!$A$32,'Auto Responses'!$A$33,VLOOKUP($A98,Organization!$A$13:$E$67,4,0))&amp;""</f>
        <v>NA</v>
      </c>
      <c r="E98" s="206" t="str">
        <f aca="false">VLOOKUP($A98,Organization!$A$13:$E$67,5,0)&amp;""</f>
        <v>Briefly summarize your response.</v>
      </c>
      <c r="F98" s="212"/>
      <c r="G98" s="197" t="str">
        <f aca="false">VLOOKUP($A98,Questions!$A$2:$X$333,21,0)&amp;""</f>
        <v>Yes</v>
      </c>
      <c r="H98" s="198"/>
      <c r="I98" s="199" t="str">
        <f aca="false">VLOOKUP($A98,Questions!$A$2:$X$333,23,0)&amp;""</f>
        <v>Standard Importance</v>
      </c>
      <c r="J98" s="198"/>
      <c r="K98" s="200" t="b">
        <f aca="false">FALSE()</f>
        <v>0</v>
      </c>
      <c r="L98" s="1"/>
    </row>
    <row r="99" s="176" customFormat="true" ht="46.25" hidden="false" customHeight="false" outlineLevel="0" collapsed="false">
      <c r="A99" s="35" t="str">
        <f aca="false">Organization!$A$40</f>
        <v>CHNG-05</v>
      </c>
      <c r="B99" s="36" t="str">
        <f aca="false">VLOOKUP($A99,Organization!$A$13:$E$67,2,0)&amp;""</f>
        <v>Does your change management process minimally include authorization, impact analysis, testing, and validation before moving changes to production?</v>
      </c>
      <c r="C99" s="199" t="str">
        <f aca="false">VLOOKUP($A99,Organization!$A$13:$E$67,3,0)&amp;""</f>
        <v>No</v>
      </c>
      <c r="D99" s="68" t="str">
        <f aca="false">IF(LEFT(VLOOKUP($A99,Organization!$A$13:$E$67,5,0),21)='Auto Responses'!$A$32,'Auto Responses'!$A$33,VLOOKUP($A99,Organization!$A$13:$E$67,4,0))&amp;""</f>
        <v>NA</v>
      </c>
      <c r="E99" s="206" t="str">
        <f aca="false">VLOOKUP($A99,Organization!$A$13:$E$67,5,0)&amp;""</f>
        <v>State your plans to implement change management in your environment or clarify what your change management processes do include.</v>
      </c>
      <c r="F99" s="212"/>
      <c r="G99" s="197" t="str">
        <f aca="false">VLOOKUP($A99,Questions!$A$2:$X$333,21,0)&amp;""</f>
        <v>Yes</v>
      </c>
      <c r="H99" s="198"/>
      <c r="I99" s="199" t="str">
        <f aca="false">VLOOKUP($A99,Questions!$A$2:$X$333,23,0)&amp;""</f>
        <v>Standard Importance</v>
      </c>
      <c r="J99" s="198"/>
      <c r="K99" s="200" t="b">
        <f aca="false">FALSE()</f>
        <v>0</v>
      </c>
      <c r="L99" s="1"/>
    </row>
    <row r="100" s="176" customFormat="true" ht="46.25" hidden="false" customHeight="false" outlineLevel="0" collapsed="false">
      <c r="A100" s="35" t="str">
        <f aca="false">Organization!$A$41</f>
        <v>CHNG-06</v>
      </c>
      <c r="B100" s="36" t="str">
        <f aca="false">VLOOKUP($A100,Organization!$A$13:$E$67,2,0)&amp;""</f>
        <v>Does your change management process verify that all required third-party libraries and dependencies are still supported with each major change?</v>
      </c>
      <c r="C100" s="199" t="str">
        <f aca="false">VLOOKUP($A100,Organization!$A$13:$E$67,3,0)&amp;""</f>
        <v>Yes</v>
      </c>
      <c r="D100" s="68" t="str">
        <f aca="false">IF(LEFT(VLOOKUP($A100,Organization!$A$13:$E$67,5,0),21)='Auto Responses'!$A$32,'Auto Responses'!$A$33,VLOOKUP($A100,Organization!$A$13:$E$67,4,0))&amp;""</f>
        <v/>
      </c>
      <c r="E100" s="206" t="str">
        <f aca="false">VLOOKUP($A100,Organization!$A$13:$E$67,5,0)&amp;""</f>
        <v>Please describe your program to track these dependancies.</v>
      </c>
      <c r="F100" s="212"/>
      <c r="G100" s="197" t="str">
        <f aca="false">VLOOKUP($A100,Questions!$A$2:$X$333,21,0)&amp;""</f>
        <v>Yes</v>
      </c>
      <c r="H100" s="198"/>
      <c r="I100" s="199" t="str">
        <f aca="false">VLOOKUP($A100,Questions!$A$2:$X$333,23,0)&amp;""</f>
        <v>Standard Importance</v>
      </c>
      <c r="J100" s="198"/>
      <c r="K100" s="200" t="b">
        <f aca="false">FALSE()</f>
        <v>0</v>
      </c>
      <c r="L100" s="1"/>
    </row>
    <row r="101" s="176" customFormat="true" ht="31.3" hidden="false" customHeight="false" outlineLevel="0" collapsed="false">
      <c r="A101" s="35" t="str">
        <f aca="false">Organization!$A$42</f>
        <v>CHNG-07</v>
      </c>
      <c r="B101" s="36" t="str">
        <f aca="false">VLOOKUP($A101,Organization!$A$13:$E$67,2,0)&amp;""</f>
        <v>Do you have policy and procedure, currently implemented, managing how critical patches are applied to all systems and applications?</v>
      </c>
      <c r="C101" s="199" t="str">
        <f aca="false">VLOOKUP($A101,Organization!$A$13:$E$67,3,0)&amp;""</f>
        <v>No</v>
      </c>
      <c r="D101" s="68" t="str">
        <f aca="false">IF(LEFT(VLOOKUP($A101,Organization!$A$13:$E$67,5,0),21)='Auto Responses'!$A$32,'Auto Responses'!$A$33,VLOOKUP($A101,Organization!$A$13:$E$67,4,0))&amp;""</f>
        <v>regular update strategy</v>
      </c>
      <c r="E101" s="206" t="str">
        <f aca="false">VLOOKUP($A101,Organization!$A$13:$E$67,5,0)&amp;""</f>
        <v>State your plans to implement policy and procedure(s) to manage how critical patches are applied to systems and applications.</v>
      </c>
      <c r="F101" s="212"/>
      <c r="G101" s="197" t="str">
        <f aca="false">VLOOKUP($A101,Questions!$A$2:$X$333,21,0)&amp;""</f>
        <v>Yes</v>
      </c>
      <c r="H101" s="198"/>
      <c r="I101" s="199" t="str">
        <f aca="false">VLOOKUP($A101,Questions!$A$2:$X$333,23,0)&amp;""</f>
        <v>Standard Importance</v>
      </c>
      <c r="J101" s="198"/>
      <c r="K101" s="200" t="b">
        <f aca="false">FALSE()</f>
        <v>0</v>
      </c>
      <c r="L101" s="1"/>
    </row>
    <row r="102" s="176" customFormat="true" ht="31.3" hidden="false" customHeight="false" outlineLevel="0" collapsed="false">
      <c r="A102" s="35" t="str">
        <f aca="false">Organization!$A$43</f>
        <v>CHNG-08</v>
      </c>
      <c r="B102" s="36" t="str">
        <f aca="false">VLOOKUP($A102,Organization!$A$13:$E$67,2,0)&amp;""</f>
        <v>Have you implemented policies and procedures that guide how security risks are mitigated until patches can be applied?</v>
      </c>
      <c r="C102" s="199" t="str">
        <f aca="false">VLOOKUP($A102,Organization!$A$13:$E$67,3,0)&amp;""</f>
        <v>No</v>
      </c>
      <c r="D102" s="68" t="str">
        <f aca="false">IF(LEFT(VLOOKUP($A102,Organization!$A$13:$E$67,5,0),21)='Auto Responses'!$A$32,'Auto Responses'!$A$33,VLOOKUP($A102,Organization!$A$13:$E$67,4,0))&amp;""</f>
        <v/>
      </c>
      <c r="E102" s="206" t="str">
        <f aca="false">VLOOKUP($A102,Organization!$A$13:$E$67,5,0)&amp;""</f>
        <v>State your plans to implement policy and procedure(s) guiding risk mitigation practices before critical patches can be applied.</v>
      </c>
      <c r="F102" s="212"/>
      <c r="G102" s="197" t="str">
        <f aca="false">VLOOKUP($A102,Questions!$A$2:$X$333,21,0)&amp;""</f>
        <v>Yes</v>
      </c>
      <c r="H102" s="198"/>
      <c r="I102" s="199" t="str">
        <f aca="false">VLOOKUP($A102,Questions!$A$2:$X$333,23,0)&amp;""</f>
        <v>Standard Importance</v>
      </c>
      <c r="J102" s="198"/>
      <c r="K102" s="200" t="b">
        <f aca="false">FALSE()</f>
        <v>0</v>
      </c>
      <c r="L102" s="1"/>
    </row>
    <row r="103" s="176" customFormat="true" ht="31.3" hidden="false" customHeight="false" outlineLevel="0" collapsed="false">
      <c r="A103" s="35" t="str">
        <f aca="false">Organization!$A$44</f>
        <v>CHNG-09</v>
      </c>
      <c r="B103" s="36" t="str">
        <f aca="false">VLOOKUP($A103,Organization!$A$13:$E$67,2,0)&amp;""</f>
        <v>Do clients have the option to not participate in or postpone an upgrade to a new release?</v>
      </c>
      <c r="C103" s="199" t="str">
        <f aca="false">VLOOKUP($A103,Organization!$A$13:$E$67,3,0)&amp;""</f>
        <v>Yes</v>
      </c>
      <c r="D103" s="68" t="str">
        <f aca="false">IF(LEFT(VLOOKUP($A103,Organization!$A$13:$E$67,5,0),21)='Auto Responses'!$A$32,'Auto Responses'!$A$33,VLOOKUP($A103,Organization!$A$13:$E$67,4,0))&amp;""</f>
        <v/>
      </c>
      <c r="E103" s="206" t="str">
        <f aca="false">VLOOKUP($A103,Organization!$A$13:$E$67,5,0)&amp;""</f>
        <v>Provide reference the the process/procedure to manage releases.</v>
      </c>
      <c r="F103" s="212"/>
      <c r="G103" s="197" t="str">
        <f aca="false">VLOOKUP($A103,Questions!$A$2:$X$333,21,0)&amp;""</f>
        <v>Yes</v>
      </c>
      <c r="H103" s="198"/>
      <c r="I103" s="199" t="str">
        <f aca="false">VLOOKUP($A103,Questions!$A$2:$X$333,23,0)&amp;""</f>
        <v>Minor Importance</v>
      </c>
      <c r="J103" s="198"/>
      <c r="K103" s="200" t="b">
        <f aca="false">FALSE()</f>
        <v>0</v>
      </c>
      <c r="L103" s="1"/>
    </row>
    <row r="104" s="1" customFormat="true" ht="83.55" hidden="false" customHeight="false" outlineLevel="0" collapsed="false">
      <c r="A104" s="35" t="str">
        <f aca="false">Organization!$A$45</f>
        <v>CHNG-10</v>
      </c>
      <c r="B104" s="36" t="str">
        <f aca="false">VLOOKUP($A104,Organization!$A$13:$E$67,2,0)&amp;""</f>
        <v>Do you have a fully implemented solution support strategy that defines how many concurrent versions you support?</v>
      </c>
      <c r="C104" s="199" t="str">
        <f aca="false">VLOOKUP($A104,Organization!$A$13:$E$67,3,0)&amp;""</f>
        <v>Yes</v>
      </c>
      <c r="D104" s="68" t="str">
        <f aca="false">IF(LEFT(VLOOKUP($A104,Organization!$A$13:$E$67,5,0),21)='Auto Responses'!$A$32,'Auto Responses'!$A$33,VLOOKUP($A104,Organization!$A$13:$E$67,4,0))&amp;""</f>
        <v>See roadmap and lifecycle pages</v>
      </c>
      <c r="E104" s="206" t="str">
        <f aca="false">VLOOKUP($A104,Organization!$A$13:$E$67,5,0)&amp;""</f>
        <v>Describe or provide a reference to your solution support strategy in regard to maintaining software currency (i.e., how many concurrent versions are you willing to run and support?).</v>
      </c>
      <c r="F104" s="212"/>
      <c r="G104" s="197" t="str">
        <f aca="false">VLOOKUP($A104,Questions!$A$2:$X$333,21,0)&amp;""</f>
        <v>Yes</v>
      </c>
      <c r="H104" s="198"/>
      <c r="I104" s="199" t="str">
        <f aca="false">VLOOKUP($A104,Questions!$A$2:$X$333,23,0)&amp;""</f>
        <v>Minor Importance</v>
      </c>
      <c r="J104" s="198"/>
      <c r="K104" s="200" t="b">
        <f aca="false">FALSE()</f>
        <v>0</v>
      </c>
      <c r="M104" s="176"/>
      <c r="N104" s="176"/>
    </row>
    <row r="105" s="176" customFormat="true" ht="17.9" hidden="false" customHeight="false" outlineLevel="0" collapsed="false">
      <c r="A105" s="35" t="str">
        <f aca="false">Organization!$A$46</f>
        <v>CHNG-11</v>
      </c>
      <c r="B105" s="36" t="str">
        <f aca="false">VLOOKUP($A105,Organization!$A$13:$E$67,2,0)&amp;""</f>
        <v>Do you have a release schedule for product updates?</v>
      </c>
      <c r="C105" s="199" t="str">
        <f aca="false">VLOOKUP($A105,Organization!$A$13:$E$67,3,0)&amp;""</f>
        <v>Yes</v>
      </c>
      <c r="D105" s="68" t="str">
        <f aca="false">IF(LEFT(VLOOKUP($A105,Organization!$A$13:$E$67,5,0),21)='Auto Responses'!$A$32,'Auto Responses'!$A$33,VLOOKUP($A105,Organization!$A$13:$E$67,4,0))&amp;""</f>
        <v>fixed release schedule. Each month for minor patch versions, each 4 monthes for release version, Each year for long term support version</v>
      </c>
      <c r="E105" s="206" t="str">
        <f aca="false">VLOOKUP($A105,Organization!$A$13:$E$67,5,0)&amp;""</f>
        <v>Provide a reference to this solution's release schedule.</v>
      </c>
      <c r="F105" s="212"/>
      <c r="G105" s="197" t="str">
        <f aca="false">VLOOKUP($A105,Questions!$A$2:$X$333,21,0)&amp;""</f>
        <v>Yes</v>
      </c>
      <c r="H105" s="198"/>
      <c r="I105" s="199" t="str">
        <f aca="false">VLOOKUP($A105,Questions!$A$2:$X$333,23,0)&amp;""</f>
        <v>Minor Importance</v>
      </c>
      <c r="J105" s="198"/>
      <c r="K105" s="200" t="b">
        <f aca="false">FALSE()</f>
        <v>0</v>
      </c>
      <c r="L105" s="1"/>
    </row>
    <row r="106" s="176" customFormat="true" ht="31.3" hidden="false" customHeight="false" outlineLevel="0" collapsed="false">
      <c r="A106" s="35" t="str">
        <f aca="false">Organization!$A$47</f>
        <v>CHNG-12</v>
      </c>
      <c r="B106" s="36" t="str">
        <f aca="false">VLOOKUP($A106,Organization!$A$13:$E$67,2,0)&amp;""</f>
        <v>Do you have a technology roadmap, for at least the next two years, for enhancements and bug fixes for the solution being assessed?</v>
      </c>
      <c r="C106" s="199" t="str">
        <f aca="false">VLOOKUP($A106,Organization!$A$13:$E$67,3,0)&amp;""</f>
        <v>Yes</v>
      </c>
      <c r="D106" s="68" t="str">
        <f aca="false">IF(LEFT(VLOOKUP($A106,Organization!$A$13:$E$67,5,0),21)='Auto Responses'!$A$32,'Auto Responses'!$A$33,VLOOKUP($A106,Organization!$A$13:$E$67,4,0))&amp;""</f>
        <v>discussed in the open</v>
      </c>
      <c r="E106" s="206" t="str">
        <f aca="false">VLOOKUP($A106,Organization!$A$13:$E$67,5,0)&amp;""</f>
        <v>Provide a reference to your technology roadmap.</v>
      </c>
      <c r="F106" s="212"/>
      <c r="G106" s="197" t="str">
        <f aca="false">VLOOKUP($A106,Questions!$A$2:$X$333,21,0)&amp;""</f>
        <v>Yes</v>
      </c>
      <c r="H106" s="198"/>
      <c r="I106" s="199" t="str">
        <f aca="false">VLOOKUP($A106,Questions!$A$2:$X$333,23,0)&amp;""</f>
        <v>Minor Importance</v>
      </c>
      <c r="J106" s="198"/>
      <c r="K106" s="200" t="b">
        <f aca="false">FALSE()</f>
        <v>0</v>
      </c>
      <c r="L106" s="1"/>
    </row>
    <row r="107" s="176" customFormat="true" ht="31.3" hidden="false" customHeight="false" outlineLevel="0" collapsed="false">
      <c r="A107" s="35" t="str">
        <f aca="false">Organization!$A$48</f>
        <v>CHNG-13</v>
      </c>
      <c r="B107" s="36" t="str">
        <f aca="false">VLOOKUP($A107,Organization!$A$13:$E$67,2,0)&amp;""</f>
        <v>Can solution updates be completed without institutional involvement (i.e., technically or organizationally)?</v>
      </c>
      <c r="C107" s="199" t="str">
        <f aca="false">VLOOKUP($A107,Organization!$A$13:$E$67,3,0)&amp;""</f>
        <v>Yes</v>
      </c>
      <c r="D107" s="68" t="str">
        <f aca="false">IF(LEFT(VLOOKUP($A107,Organization!$A$13:$E$67,5,0),21)='Auto Responses'!$A$32,'Auto Responses'!$A$33,VLOOKUP($A107,Organization!$A$13:$E$67,4,0))&amp;""</f>
        <v/>
      </c>
      <c r="E107" s="206" t="str">
        <f aca="false">VLOOKUP($A107,Organization!$A$13:$E$67,5,0)&amp;""</f>
        <v/>
      </c>
      <c r="F107" s="212"/>
      <c r="G107" s="197" t="str">
        <f aca="false">VLOOKUP($A107,Questions!$A$2:$X$333,21,0)&amp;""</f>
        <v>Yes</v>
      </c>
      <c r="H107" s="198"/>
      <c r="I107" s="199" t="str">
        <f aca="false">VLOOKUP($A107,Questions!$A$2:$X$333,23,0)&amp;""</f>
        <v>Minor Importance</v>
      </c>
      <c r="J107" s="198"/>
      <c r="K107" s="200" t="b">
        <f aca="false">FALSE()</f>
        <v>0</v>
      </c>
      <c r="L107" s="1"/>
    </row>
    <row r="108" s="176" customFormat="true" ht="31.3" hidden="false" customHeight="false" outlineLevel="0" collapsed="false">
      <c r="A108" s="35" t="str">
        <f aca="false">Organization!$A$49</f>
        <v>CHNG-14</v>
      </c>
      <c r="B108" s="36" t="str">
        <f aca="false">VLOOKUP($A108,Organization!$A$13:$E$67,2,0)&amp;""</f>
        <v>Are upgrades or system changes installed during off-peak hours or in a manner that does not impact the customer?</v>
      </c>
      <c r="C108" s="199" t="str">
        <f aca="false">VLOOKUP($A108,Organization!$A$13:$E$67,3,0)&amp;""</f>
        <v>No</v>
      </c>
      <c r="D108" s="68" t="str">
        <f aca="false">IF(LEFT(VLOOKUP($A108,Organization!$A$13:$E$67,5,0),21)='Auto Responses'!$A$32,'Auto Responses'!$A$33,VLOOKUP($A108,Organization!$A$13:$E$67,4,0))&amp;""</f>
        <v>NA</v>
      </c>
      <c r="E108" s="206" t="str">
        <f aca="false">VLOOKUP($A108,Organization!$A$13:$E$67,5,0)&amp;""</f>
        <v>Decribe plans to minimize the impact of downtime based on predefined off-peak hours.</v>
      </c>
      <c r="F108" s="212"/>
      <c r="G108" s="197" t="str">
        <f aca="false">VLOOKUP($A108,Questions!$A$2:$X$333,21,0)&amp;""</f>
        <v>Yes</v>
      </c>
      <c r="H108" s="198"/>
      <c r="I108" s="199" t="str">
        <f aca="false">VLOOKUP($A108,Questions!$A$2:$X$333,23,0)&amp;""</f>
        <v>Minor Importance</v>
      </c>
      <c r="J108" s="198"/>
      <c r="K108" s="200" t="b">
        <f aca="false">FALSE()</f>
        <v>0</v>
      </c>
      <c r="L108" s="1"/>
    </row>
    <row r="109" s="176" customFormat="true" ht="31.3" hidden="false" customHeight="false" outlineLevel="0" collapsed="false">
      <c r="A109" s="35" t="str">
        <f aca="false">Organization!$A$50</f>
        <v>CHNG-15</v>
      </c>
      <c r="B109" s="36" t="str">
        <f aca="false">VLOOKUP($A109,Organization!$A$13:$E$67,2,0)&amp;""</f>
        <v>Do procedures exist to provide that emergency changes are documented and authorized (including after-the-fact approval)?</v>
      </c>
      <c r="C109" s="199" t="str">
        <f aca="false">VLOOKUP($A109,Organization!$A$13:$E$67,3,0)&amp;""</f>
        <v>No</v>
      </c>
      <c r="D109" s="68" t="str">
        <f aca="false">IF(LEFT(VLOOKUP($A109,Organization!$A$13:$E$67,5,0),21)='Auto Responses'!$A$32,'Auto Responses'!$A$33,VLOOKUP($A109,Organization!$A$13:$E$67,4,0))&amp;""</f>
        <v>NA</v>
      </c>
      <c r="E109" s="206" t="str">
        <f aca="false">VLOOKUP($A109,Organization!$A$13:$E$67,5,0)&amp;""</f>
        <v>Describe plans to implement procedure ensuring that emergency changes are documented and authorized.</v>
      </c>
      <c r="F109" s="212"/>
      <c r="G109" s="197" t="str">
        <f aca="false">VLOOKUP($A109,Questions!$A$2:$X$333,21,0)&amp;""</f>
        <v>Yes</v>
      </c>
      <c r="H109" s="198"/>
      <c r="I109" s="199" t="str">
        <f aca="false">VLOOKUP($A109,Questions!$A$2:$X$333,23,0)&amp;""</f>
        <v>Minor Importance</v>
      </c>
      <c r="J109" s="198"/>
      <c r="K109" s="200" t="b">
        <f aca="false">FALSE()</f>
        <v>0</v>
      </c>
      <c r="L109" s="1"/>
    </row>
    <row r="110" s="176" customFormat="true" ht="46.25" hidden="false" customHeight="false" outlineLevel="0" collapsed="false">
      <c r="A110" s="35" t="str">
        <f aca="false">Organization!$A$51</f>
        <v>CHNG-16</v>
      </c>
      <c r="B110" s="36" t="str">
        <f aca="false">VLOOKUP($A110,Organization!$A$13:$E$67,2,0)&amp;""</f>
        <v>Do you have a systems management and configuration strategy that encompasses servers, appliances, cloud services, applications, and mobile devices (company and employee owned)?</v>
      </c>
      <c r="C110" s="199" t="str">
        <f aca="false">VLOOKUP($A110,Organization!$A$13:$E$67,3,0)&amp;""</f>
        <v>No</v>
      </c>
      <c r="D110" s="68" t="str">
        <f aca="false">IF(LEFT(VLOOKUP($A110,Organization!$A$13:$E$67,5,0),21)='Auto Responses'!$A$32,'Auto Responses'!$A$33,VLOOKUP($A110,Organization!$A$13:$E$67,4,0))&amp;""</f>
        <v>NA</v>
      </c>
      <c r="E110" s="206" t="str">
        <f aca="false">VLOOKUP($A110,Organization!$A$13:$E$67,5,0)&amp;""</f>
        <v>Describe your intent to implement a systems management and configuration strategy.</v>
      </c>
      <c r="F110" s="212"/>
      <c r="G110" s="197" t="str">
        <f aca="false">VLOOKUP($A110,Questions!$A$2:$X$333,21,0)&amp;""</f>
        <v>Yes</v>
      </c>
      <c r="H110" s="198"/>
      <c r="I110" s="199" t="str">
        <f aca="false">VLOOKUP($A110,Questions!$A$2:$X$333,23,0)&amp;""</f>
        <v>Minor Importance</v>
      </c>
      <c r="J110" s="198"/>
      <c r="K110" s="200" t="b">
        <f aca="false">FALSE()</f>
        <v>0</v>
      </c>
      <c r="L110" s="1"/>
    </row>
    <row r="111" s="176" customFormat="true" ht="17.9" hidden="false" customHeight="false" outlineLevel="0" collapsed="false">
      <c r="A111" s="31" t="str">
        <f aca="false">VLOOKUP(LEFT($A112,4),'Auto Responses'!$N$4:$O$38,2,0)&amp;""</f>
        <v> Policies, Processes, and Procedures</v>
      </c>
      <c r="B111" s="42"/>
      <c r="C111" s="43"/>
      <c r="D111" s="43"/>
      <c r="E111" s="204"/>
      <c r="F111" s="192" t="s">
        <v>454</v>
      </c>
      <c r="G111" s="201" t="s">
        <v>449</v>
      </c>
      <c r="H111" s="201" t="s">
        <v>450</v>
      </c>
      <c r="I111" s="201" t="s">
        <v>451</v>
      </c>
      <c r="J111" s="201" t="s">
        <v>452</v>
      </c>
      <c r="K111" s="43"/>
      <c r="L111" s="1"/>
      <c r="M111" s="1"/>
      <c r="N111" s="1"/>
    </row>
    <row r="112" s="176" customFormat="true" ht="17.9" hidden="false" customHeight="false" outlineLevel="0" collapsed="false">
      <c r="A112" s="35" t="str">
        <f aca="false">Organization!$A$53</f>
        <v>PPPR-01</v>
      </c>
      <c r="B112" s="36" t="str">
        <f aca="false">VLOOKUP($A112,Organization!$A$13:$E$67,2,0)&amp;""</f>
        <v>Do you have a documented patch management process?*</v>
      </c>
      <c r="C112" s="199" t="str">
        <f aca="false">VLOOKUP($A112,Organization!$A$13:$E$67,3,0)&amp;""</f>
        <v>Yes</v>
      </c>
      <c r="D112" s="68" t="str">
        <f aca="false">IF(LEFT(VLOOKUP($A112,Organization!$A$13:$E$67,5,0),21)='Auto Responses'!$A$32,'Auto Responses'!$A$33,VLOOKUP($A112,Organization!$A$13:$E$67,4,0))&amp;""</f>
        <v/>
      </c>
      <c r="E112" s="206" t="str">
        <f aca="false">VLOOKUP($A112,Organization!$A$13:$E$67,5,0)&amp;""</f>
        <v/>
      </c>
      <c r="F112" s="212"/>
      <c r="G112" s="197" t="str">
        <f aca="false">VLOOKUP($A112,Questions!$A$2:$X$333,21,0)&amp;""</f>
        <v>Yes</v>
      </c>
      <c r="H112" s="198"/>
      <c r="I112" s="199" t="str">
        <f aca="false">VLOOKUP($A112,Questions!$A$2:$X$333,23,0)&amp;""</f>
        <v>Critical Importance</v>
      </c>
      <c r="J112" s="198"/>
      <c r="K112" s="200" t="b">
        <f aca="false">FALSE()</f>
        <v>0</v>
      </c>
      <c r="L112" s="1"/>
    </row>
    <row r="113" s="176" customFormat="true" ht="67.15" hidden="false" customHeight="false" outlineLevel="0" collapsed="false">
      <c r="A113" s="35" t="str">
        <f aca="false">Organization!$A$54</f>
        <v>PPPR-02</v>
      </c>
      <c r="B113" s="36" t="str">
        <f aca="false">VLOOKUP($A113,Organization!$A$13:$E$67,2,0)&amp;""</f>
        <v>Can your organization comply with institutional policies on privacy and data protection with regard to users of institutional systems, if required?*</v>
      </c>
      <c r="C113" s="199" t="str">
        <f aca="false">VLOOKUP($A113,Organization!$A$13:$E$67,3,0)&amp;""</f>
        <v>Yes</v>
      </c>
      <c r="D113" s="68" t="str">
        <f aca="false">IF(LEFT(VLOOKUP($A113,Organization!$A$13:$E$67,5,0),21)='Auto Responses'!$A$32,'Auto Responses'!$A$33,VLOOKUP($A113,Organization!$A$13:$E$67,4,0))&amp;""</f>
        <v>Easily has we don’t manage any sensitive or personal data. </v>
      </c>
      <c r="E113" s="206" t="str">
        <f aca="false">VLOOKUP($A113,Organization!$A$13:$E$67,5,0)&amp;""</f>
        <v>State that you have reviewed the institution's IT policies with regards to user privacy and data protection.</v>
      </c>
      <c r="F113" s="212"/>
      <c r="G113" s="197" t="str">
        <f aca="false">VLOOKUP($A113,Questions!$A$2:$X$333,21,0)&amp;""</f>
        <v>Yes</v>
      </c>
      <c r="H113" s="198"/>
      <c r="I113" s="199" t="str">
        <f aca="false">VLOOKUP($A113,Questions!$A$2:$X$333,23,0)&amp;""</f>
        <v>Critical Importance</v>
      </c>
      <c r="J113" s="198"/>
      <c r="K113" s="200" t="b">
        <f aca="false">FALSE()</f>
        <v>0</v>
      </c>
      <c r="L113" s="1"/>
    </row>
    <row r="114" s="176" customFormat="true" ht="67.15" hidden="false" customHeight="false" outlineLevel="0" collapsed="false">
      <c r="A114" s="35" t="str">
        <f aca="false">Organization!$A$55</f>
        <v>PPPR-03</v>
      </c>
      <c r="B114" s="36" t="str">
        <f aca="false">VLOOKUP($A114,Organization!$A$13:$E$67,2,0)&amp;""</f>
        <v>Is your company subject to the institution's geographic region's laws and regulations?*</v>
      </c>
      <c r="C114" s="199" t="str">
        <f aca="false">VLOOKUP($A114,Organization!$A$13:$E$67,3,0)&amp;""</f>
        <v>Yes</v>
      </c>
      <c r="D114" s="68" t="str">
        <f aca="false">IF(LEFT(VLOOKUP($A114,Organization!$A$13:$E$67,5,0),21)='Auto Responses'!$A$32,'Auto Responses'!$A$33,VLOOKUP($A114,Organization!$A$13:$E$67,4,0))&amp;""</f>
        <v>Swiss regulations</v>
      </c>
      <c r="E114" s="206" t="str">
        <f aca="false">VLOOKUP($A114,Organization!$A$13:$E$67,5,0)&amp;""</f>
        <v>State the country that governs and regulates your company.</v>
      </c>
      <c r="F114" s="212"/>
      <c r="G114" s="197" t="str">
        <f aca="false">VLOOKUP($A114,Questions!$A$2:$X$333,21,0)&amp;""</f>
        <v>Yes</v>
      </c>
      <c r="H114" s="198"/>
      <c r="I114" s="199" t="str">
        <f aca="false">VLOOKUP($A114,Questions!$A$2:$X$333,23,0)&amp;""</f>
        <v>Critical Importance</v>
      </c>
      <c r="J114" s="198"/>
      <c r="K114" s="200" t="b">
        <f aca="false">FALSE()</f>
        <v>0</v>
      </c>
      <c r="L114" s="1"/>
    </row>
    <row r="115" s="176" customFormat="true" ht="67.15" hidden="false" customHeight="false" outlineLevel="0" collapsed="false">
      <c r="A115" s="35" t="str">
        <f aca="false">Organization!$A$56</f>
        <v>PPPR-04</v>
      </c>
      <c r="B115" s="36" t="str">
        <f aca="false">VLOOKUP($A115,Organization!$A$13:$E$67,2,0)&amp;""</f>
        <v>Can you accommodate encryption requirements using open standards?</v>
      </c>
      <c r="C115" s="199" t="str">
        <f aca="false">VLOOKUP($A115,Organization!$A$13:$E$67,3,0)&amp;""</f>
        <v>Yes</v>
      </c>
      <c r="D115" s="68" t="str">
        <f aca="false">IF(LEFT(VLOOKUP($A115,Organization!$A$13:$E$67,5,0),21)='Auto Responses'!$A$32,'Auto Responses'!$A$33,VLOOKUP($A115,Organization!$A$13:$E$67,4,0))&amp;""</f>
        <v/>
      </c>
      <c r="E115" s="206" t="str">
        <f aca="false">VLOOKUP($A115,Organization!$A$13:$E$67,5,0)&amp;""</f>
        <v/>
      </c>
      <c r="F115" s="212"/>
      <c r="G115" s="197" t="str">
        <f aca="false">VLOOKUP($A115,Questions!$A$2:$X$333,21,0)&amp;""</f>
        <v>Yes</v>
      </c>
      <c r="H115" s="198"/>
      <c r="I115" s="199" t="str">
        <f aca="false">VLOOKUP($A115,Questions!$A$2:$X$333,23,0)&amp;""</f>
        <v>Standard Importance</v>
      </c>
      <c r="J115" s="198"/>
      <c r="K115" s="200" t="b">
        <f aca="false">FALSE()</f>
        <v>0</v>
      </c>
      <c r="L115" s="1"/>
    </row>
    <row r="116" s="176" customFormat="true" ht="67.15" hidden="false" customHeight="false" outlineLevel="0" collapsed="false">
      <c r="A116" s="35" t="str">
        <f aca="false">Organization!$A$57</f>
        <v>PPPR-05</v>
      </c>
      <c r="B116" s="36" t="str">
        <f aca="false">VLOOKUP($A116,Organization!$A$13:$E$67,2,0)&amp;""</f>
        <v>Do you have a documented systems development life cycle (SDLC)?</v>
      </c>
      <c r="C116" s="199" t="str">
        <f aca="false">VLOOKUP($A116,Organization!$A$13:$E$67,3,0)&amp;""</f>
        <v>No</v>
      </c>
      <c r="D116" s="68" t="str">
        <f aca="false">IF(LEFT(VLOOKUP($A116,Organization!$A$13:$E$67,5,0),21)='Auto Responses'!$A$32,'Auto Responses'!$A$33,VLOOKUP($A116,Organization!$A$13:$E$67,4,0))&amp;""</f>
        <v>Roadmap is contributor driven</v>
      </c>
      <c r="E116" s="206" t="str">
        <f aca="false">VLOOKUP($A116,Organization!$A$13:$E$67,5,0)&amp;""</f>
        <v>State any plans to implement an SDLC.</v>
      </c>
      <c r="F116" s="212"/>
      <c r="G116" s="197" t="str">
        <f aca="false">VLOOKUP($A116,Questions!$A$2:$X$333,21,0)&amp;""</f>
        <v>Yes</v>
      </c>
      <c r="H116" s="198"/>
      <c r="I116" s="199" t="str">
        <f aca="false">VLOOKUP($A116,Questions!$A$2:$X$333,23,0)&amp;""</f>
        <v>Standard Importance</v>
      </c>
      <c r="J116" s="198"/>
      <c r="K116" s="200" t="b">
        <f aca="false">FALSE()</f>
        <v>0</v>
      </c>
      <c r="L116" s="1"/>
    </row>
    <row r="117" s="176" customFormat="true" ht="67.15" hidden="false" customHeight="false" outlineLevel="0" collapsed="false">
      <c r="A117" s="35" t="str">
        <f aca="false">Organization!$A$58</f>
        <v>PPPR-06</v>
      </c>
      <c r="B117" s="36" t="str">
        <f aca="false">VLOOKUP($A117,Organization!$A$13:$E$67,2,0)&amp;""</f>
        <v>Do you perform background screenings or multi-state background checks on all employees prior to their first day of work?</v>
      </c>
      <c r="C117" s="199" t="str">
        <f aca="false">VLOOKUP($A117,Organization!$A$13:$E$67,3,0)&amp;""</f>
        <v>No</v>
      </c>
      <c r="D117" s="68" t="str">
        <f aca="false">IF(LEFT(VLOOKUP($A117,Organization!$A$13:$E$67,5,0),21)='Auto Responses'!$A$32,'Auto Responses'!$A$33,VLOOKUP($A117,Organization!$A$13:$E$67,4,0))&amp;""</f>
        <v/>
      </c>
      <c r="E117" s="206" t="str">
        <f aca="false">VLOOKUP($A117,Organization!$A$13:$E$67,5,0)&amp;""</f>
        <v>State plans to implement background check elements into your hiring process.</v>
      </c>
      <c r="F117" s="212"/>
      <c r="G117" s="197" t="str">
        <f aca="false">VLOOKUP($A117,Questions!$A$2:$X$333,21,0)&amp;""</f>
        <v>Yes</v>
      </c>
      <c r="H117" s="198"/>
      <c r="I117" s="199" t="str">
        <f aca="false">VLOOKUP($A117,Questions!$A$2:$X$333,23,0)&amp;""</f>
        <v>Standard Importance</v>
      </c>
      <c r="J117" s="198"/>
      <c r="K117" s="200" t="b">
        <f aca="false">FALSE()</f>
        <v>0</v>
      </c>
      <c r="L117" s="1"/>
    </row>
    <row r="118" s="176" customFormat="true" ht="67.15" hidden="false" customHeight="false" outlineLevel="0" collapsed="false">
      <c r="A118" s="35" t="str">
        <f aca="false">Organization!$A$59</f>
        <v>PPPR-07</v>
      </c>
      <c r="B118" s="36" t="str">
        <f aca="false">VLOOKUP($A118,Organization!$A$13:$E$67,2,0)&amp;""</f>
        <v>Do you require new employees to fill out agreements and review policies?</v>
      </c>
      <c r="C118" s="199" t="str">
        <f aca="false">VLOOKUP($A118,Organization!$A$13:$E$67,3,0)&amp;""</f>
        <v>Yes</v>
      </c>
      <c r="D118" s="68" t="str">
        <f aca="false">IF(LEFT(VLOOKUP($A118,Organization!$A$13:$E$67,5,0),21)='Auto Responses'!$A$32,'Auto Responses'!$A$33,VLOOKUP($A118,Organization!$A$13:$E$67,4,0))&amp;""</f>
        <v>Contributors agreement and code of conduct for each project</v>
      </c>
      <c r="E118" s="206" t="str">
        <f aca="false">VLOOKUP($A118,Organization!$A$13:$E$67,5,0)&amp;""</f>
        <v>Summarize the required agreements and reviewed policies.</v>
      </c>
      <c r="F118" s="212"/>
      <c r="G118" s="197" t="str">
        <f aca="false">VLOOKUP($A118,Questions!$A$2:$X$333,21,0)&amp;""</f>
        <v>Yes</v>
      </c>
      <c r="H118" s="198"/>
      <c r="I118" s="199" t="str">
        <f aca="false">VLOOKUP($A118,Questions!$A$2:$X$333,23,0)&amp;""</f>
        <v>Standard Importance</v>
      </c>
      <c r="J118" s="198"/>
      <c r="K118" s="200" t="b">
        <f aca="false">FALSE()</f>
        <v>0</v>
      </c>
      <c r="L118" s="1"/>
    </row>
    <row r="119" s="176" customFormat="true" ht="67.15" hidden="false" customHeight="false" outlineLevel="0" collapsed="false">
      <c r="A119" s="35" t="str">
        <f aca="false">Organization!$A$60</f>
        <v>PPPR-08</v>
      </c>
      <c r="B119" s="36" t="str">
        <f aca="false">VLOOKUP($A119,Organization!$A$13:$E$67,2,0)&amp;""</f>
        <v>Do you have a documented information security policy?</v>
      </c>
      <c r="C119" s="199" t="str">
        <f aca="false">VLOOKUP($A119,Organization!$A$13:$E$67,3,0)&amp;""</f>
        <v>Yes</v>
      </c>
      <c r="D119" s="68" t="str">
        <f aca="false">IF(LEFT(VLOOKUP($A119,Organization!$A$13:$E$67,5,0),21)='Auto Responses'!$A$32,'Auto Responses'!$A$33,VLOOKUP($A119,Organization!$A$13:$E$67,4,0))&amp;""</f>
        <v>See https://www.qgis.org/resources/support/security/</v>
      </c>
      <c r="E119" s="206" t="str">
        <f aca="false">VLOOKUP($A119,Organization!$A$13:$E$67,5,0)&amp;""</f>
        <v>Provide a reference to your information security policy or submit documentation with this fully populated HECVAT.</v>
      </c>
      <c r="F119" s="212"/>
      <c r="G119" s="197" t="str">
        <f aca="false">VLOOKUP($A119,Questions!$A$2:$X$333,21,0)&amp;""</f>
        <v>Yes</v>
      </c>
      <c r="H119" s="198"/>
      <c r="I119" s="199" t="str">
        <f aca="false">VLOOKUP($A119,Questions!$A$2:$X$333,23,0)&amp;""</f>
        <v>Standard Importance</v>
      </c>
      <c r="J119" s="198"/>
      <c r="K119" s="200" t="b">
        <f aca="false">FALSE()</f>
        <v>0</v>
      </c>
      <c r="L119" s="1"/>
    </row>
    <row r="120" s="1" customFormat="true" ht="67.15" hidden="false" customHeight="false" outlineLevel="0" collapsed="false">
      <c r="A120" s="35" t="str">
        <f aca="false">Organization!$A$61</f>
        <v>PPPR-09</v>
      </c>
      <c r="B120" s="36" t="str">
        <f aca="false">VLOOKUP($A120,Organization!$A$13:$E$67,2,0)&amp;""</f>
        <v>Are information security principles designed into the product lifecycle?</v>
      </c>
      <c r="C120" s="199" t="str">
        <f aca="false">VLOOKUP($A120,Organization!$A$13:$E$67,3,0)&amp;""</f>
        <v>Yes</v>
      </c>
      <c r="D120" s="68" t="str">
        <f aca="false">IF(LEFT(VLOOKUP($A120,Organization!$A$13:$E$67,5,0),21)='Auto Responses'!$A$32,'Auto Responses'!$A$33,VLOOKUP($A120,Organization!$A$13:$E$67,4,0))&amp;""</f>
        <v>Review ensure QGIS don’t leak or communicate data to any server </v>
      </c>
      <c r="E120" s="206" t="str">
        <f aca="false">VLOOKUP($A120,Organization!$A$13:$E$67,5,0)&amp;""</f>
        <v>Summarize the information security principles designed into the product lifecycle.</v>
      </c>
      <c r="F120" s="212"/>
      <c r="G120" s="197" t="str">
        <f aca="false">VLOOKUP($A120,Questions!$A$2:$X$333,21,0)&amp;""</f>
        <v>Yes</v>
      </c>
      <c r="H120" s="198"/>
      <c r="I120" s="199" t="str">
        <f aca="false">VLOOKUP($A120,Questions!$A$2:$X$333,23,0)&amp;""</f>
        <v>Minor Importance</v>
      </c>
      <c r="J120" s="198"/>
      <c r="K120" s="200" t="b">
        <f aca="false">FALSE()</f>
        <v>0</v>
      </c>
      <c r="M120" s="176"/>
      <c r="N120" s="176"/>
    </row>
    <row r="121" s="176" customFormat="true" ht="67.15" hidden="false" customHeight="false" outlineLevel="0" collapsed="false">
      <c r="A121" s="35" t="str">
        <f aca="false">Organization!$A$62</f>
        <v>PPPR-10</v>
      </c>
      <c r="B121" s="36" t="str">
        <f aca="false">VLOOKUP($A121,Organization!$A$13:$E$67,2,0)&amp;""</f>
        <v>Will you comply with applicable breach notification laws?</v>
      </c>
      <c r="C121" s="199" t="str">
        <f aca="false">VLOOKUP($A121,Organization!$A$13:$E$67,3,0)&amp;""</f>
        <v>No</v>
      </c>
      <c r="D121" s="68" t="str">
        <f aca="false">IF(LEFT(VLOOKUP($A121,Organization!$A$13:$E$67,5,0),21)='Auto Responses'!$A$32,'Auto Responses'!$A$33,VLOOKUP($A121,Organization!$A$13:$E$67,4,0))&amp;""</f>
        <v>NA </v>
      </c>
      <c r="E121" s="206" t="str">
        <f aca="false">VLOOKUP($A121,Organization!$A$13:$E$67,5,0)&amp;""</f>
        <v>Summarize why you will not comple with applicable breach notification laws.</v>
      </c>
      <c r="F121" s="212"/>
      <c r="G121" s="197" t="str">
        <f aca="false">VLOOKUP($A121,Questions!$A$2:$X$333,21,0)&amp;""</f>
        <v>Yes</v>
      </c>
      <c r="H121" s="198"/>
      <c r="I121" s="199" t="str">
        <f aca="false">VLOOKUP($A121,Questions!$A$2:$X$333,23,0)&amp;""</f>
        <v>Minor Importance</v>
      </c>
      <c r="J121" s="198"/>
      <c r="K121" s="200" t="b">
        <f aca="false">FALSE()</f>
        <v>0</v>
      </c>
      <c r="L121" s="1"/>
    </row>
    <row r="122" s="176" customFormat="true" ht="67.15" hidden="false" customHeight="false" outlineLevel="0" collapsed="false">
      <c r="A122" s="35" t="str">
        <f aca="false">Organization!$A$63</f>
        <v>PPPR-11</v>
      </c>
      <c r="B122" s="36" t="str">
        <f aca="false">VLOOKUP($A122,Organization!$A$13:$E$67,2,0)&amp;""</f>
        <v>Do you have an information security awareness program?</v>
      </c>
      <c r="C122" s="199" t="str">
        <f aca="false">VLOOKUP($A122,Organization!$A$13:$E$67,3,0)&amp;""</f>
        <v>No</v>
      </c>
      <c r="D122" s="68" t="str">
        <f aca="false">IF(LEFT(VLOOKUP($A122,Organization!$A$13:$E$67,5,0),21)='Auto Responses'!$A$32,'Auto Responses'!$A$33,VLOOKUP($A122,Organization!$A$13:$E$67,4,0))&amp;""</f>
        <v>NA</v>
      </c>
      <c r="E122" s="206" t="str">
        <f aca="false">VLOOKUP($A122,Organization!$A$13:$E$67,5,0)&amp;""</f>
        <v>State plans to implement an information security awareness program.</v>
      </c>
      <c r="F122" s="212"/>
      <c r="G122" s="197" t="str">
        <f aca="false">VLOOKUP($A122,Questions!$A$2:$X$333,21,0)&amp;""</f>
        <v>Yes</v>
      </c>
      <c r="H122" s="198"/>
      <c r="I122" s="199" t="str">
        <f aca="false">VLOOKUP($A122,Questions!$A$2:$X$333,23,0)&amp;""</f>
        <v>Minor Importance</v>
      </c>
      <c r="J122" s="198"/>
      <c r="K122" s="200" t="b">
        <f aca="false">FALSE()</f>
        <v>0</v>
      </c>
      <c r="L122" s="1"/>
    </row>
    <row r="123" s="176" customFormat="true" ht="67.15" hidden="false" customHeight="false" outlineLevel="0" collapsed="false">
      <c r="A123" s="35" t="str">
        <f aca="false">Organization!$A$64</f>
        <v>PPPR-12</v>
      </c>
      <c r="B123" s="36" t="str">
        <f aca="false">VLOOKUP($A123,Organization!$A$13:$E$67,2,0)&amp;""</f>
        <v>Is security awareness training mandatory for all employees?</v>
      </c>
      <c r="C123" s="199" t="str">
        <f aca="false">VLOOKUP($A123,Organization!$A$13:$E$67,3,0)&amp;""</f>
        <v>No</v>
      </c>
      <c r="D123" s="68" t="str">
        <f aca="false">IF(LEFT(VLOOKUP($A123,Organization!$A$13:$E$67,5,0),21)='Auto Responses'!$A$32,'Auto Responses'!$A$33,VLOOKUP($A123,Organization!$A$13:$E$67,4,0))&amp;""</f>
        <v>We have security programs and fundings. Companies using QGIS are funding those programs. Those concern ALL contributors, not only employees</v>
      </c>
      <c r="E123" s="206" t="str">
        <f aca="false">VLOOKUP($A123,Organization!$A$13:$E$67,5,0)&amp;""</f>
        <v>State plans to make security awareness training mandatory for all employees.</v>
      </c>
      <c r="F123" s="212"/>
      <c r="G123" s="197" t="str">
        <f aca="false">VLOOKUP($A123,Questions!$A$2:$X$333,21,0)&amp;""</f>
        <v>Yes</v>
      </c>
      <c r="H123" s="198"/>
      <c r="I123" s="199" t="str">
        <f aca="false">VLOOKUP($A123,Questions!$A$2:$X$333,23,0)&amp;""</f>
        <v>Minor Importance</v>
      </c>
      <c r="J123" s="198"/>
      <c r="K123" s="200" t="b">
        <f aca="false">FALSE()</f>
        <v>0</v>
      </c>
      <c r="L123" s="1"/>
    </row>
    <row r="124" s="176" customFormat="true" ht="67.15" hidden="false" customHeight="false" outlineLevel="0" collapsed="false">
      <c r="A124" s="35" t="str">
        <f aca="false">Organization!$A$65</f>
        <v>PPPR-13</v>
      </c>
      <c r="B124" s="36" t="str">
        <f aca="false">VLOOKUP($A124,Organization!$A$13:$E$67,2,0)&amp;""</f>
        <v>Do you have process and procedure(s) documented, and currently followed, that require a review and update of the access list(s) for privileged accounts?</v>
      </c>
      <c r="C124" s="199" t="str">
        <f aca="false">VLOOKUP($A124,Organization!$A$13:$E$67,3,0)&amp;""</f>
        <v>No</v>
      </c>
      <c r="D124" s="68" t="str">
        <f aca="false">IF(LEFT(VLOOKUP($A124,Organization!$A$13:$E$67,5,0),21)='Auto Responses'!$A$32,'Auto Responses'!$A$33,VLOOKUP($A124,Organization!$A$13:$E$67,4,0))&amp;""</f>
        <v>NA</v>
      </c>
      <c r="E124" s="206" t="str">
        <f aca="false">VLOOKUP($A124,Organization!$A$13:$E$67,5,0)&amp;""</f>
        <v>Describe plans to implement privileged account access list reviews to your environment.</v>
      </c>
      <c r="F124" s="212"/>
      <c r="G124" s="197" t="str">
        <f aca="false">VLOOKUP($A124,Questions!$A$2:$X$333,21,0)&amp;""</f>
        <v>Yes</v>
      </c>
      <c r="H124" s="198"/>
      <c r="I124" s="199" t="str">
        <f aca="false">VLOOKUP($A124,Questions!$A$2:$X$333,23,0)&amp;""</f>
        <v>Minor Importance</v>
      </c>
      <c r="J124" s="198"/>
      <c r="K124" s="200" t="b">
        <f aca="false">FALSE()</f>
        <v>0</v>
      </c>
      <c r="L124" s="1"/>
    </row>
    <row r="125" s="176" customFormat="true" ht="67.15" hidden="false" customHeight="false" outlineLevel="0" collapsed="false">
      <c r="A125" s="35" t="str">
        <f aca="false">Organization!$A$66</f>
        <v>PPPR-14</v>
      </c>
      <c r="B125" s="36" t="str">
        <f aca="false">VLOOKUP($A125,Organization!$A$13:$E$67,2,0)&amp;""</f>
        <v>Do you have documented, and currently implemented, internal audit processes and procedures?</v>
      </c>
      <c r="C125" s="199" t="str">
        <f aca="false">VLOOKUP($A125,Organization!$A$13:$E$67,3,0)&amp;""</f>
        <v>No</v>
      </c>
      <c r="D125" s="68" t="str">
        <f aca="false">IF(LEFT(VLOOKUP($A125,Organization!$A$13:$E$67,5,0),21)='Auto Responses'!$A$32,'Auto Responses'!$A$33,VLOOKUP($A125,Organization!$A$13:$E$67,4,0))&amp;""</f>
        <v>NA</v>
      </c>
      <c r="E125" s="206" t="str">
        <f aca="false">VLOOKUP($A125,Organization!$A$13:$E$67,5,0)&amp;""</f>
        <v>State plans to document and implement internal audit process and procedure in your environment.</v>
      </c>
      <c r="F125" s="212"/>
      <c r="G125" s="197" t="str">
        <f aca="false">VLOOKUP($A125,Questions!$A$2:$X$333,21,0)&amp;""</f>
        <v>Yes</v>
      </c>
      <c r="H125" s="198"/>
      <c r="I125" s="199" t="str">
        <f aca="false">VLOOKUP($A125,Questions!$A$2:$X$333,23,0)&amp;""</f>
        <v>Minor Importance</v>
      </c>
      <c r="J125" s="198"/>
      <c r="K125" s="200" t="b">
        <f aca="false">FALSE()</f>
        <v>0</v>
      </c>
      <c r="L125" s="1"/>
    </row>
    <row r="126" s="176" customFormat="true" ht="31.3" hidden="false" customHeight="false" outlineLevel="0" collapsed="false">
      <c r="A126" s="35" t="str">
        <f aca="false">Organization!$A$67</f>
        <v>PPPR-15</v>
      </c>
      <c r="B126" s="36" t="str">
        <f aca="false">VLOOKUP($A126,Organization!$A$13:$E$67,2,0)&amp;""</f>
        <v>Does your organization have physical security controls and policies in place?</v>
      </c>
      <c r="C126" s="199" t="str">
        <f aca="false">VLOOKUP($A126,Organization!$A$13:$E$67,3,0)&amp;""</f>
        <v>No</v>
      </c>
      <c r="D126" s="68" t="str">
        <f aca="false">IF(LEFT(VLOOKUP($A126,Organization!$A$13:$E$67,5,0),21)='Auto Responses'!$A$32,'Auto Responses'!$A$33,VLOOKUP($A126,Organization!$A$13:$E$67,4,0))&amp;""</f>
        <v>NA</v>
      </c>
      <c r="E126" s="206" t="str">
        <f aca="false">VLOOKUP($A126,Organization!$A$13:$E$67,5,0)&amp;""</f>
        <v>Describe your intent to implement physical security controls and policies.</v>
      </c>
      <c r="F126" s="212"/>
      <c r="G126" s="197" t="str">
        <f aca="false">VLOOKUP($A126,Questions!$A$2:$X$333,21,0)&amp;""</f>
        <v>Yes</v>
      </c>
      <c r="H126" s="198"/>
      <c r="I126" s="199" t="str">
        <f aca="false">VLOOKUP($A126,Questions!$A$2:$X$333,23,0)&amp;""</f>
        <v>Minor Importance</v>
      </c>
      <c r="J126" s="198"/>
      <c r="K126" s="213" t="b">
        <f aca="false">FALSE()</f>
        <v>0</v>
      </c>
      <c r="L126" s="1"/>
    </row>
    <row r="127" s="176" customFormat="true" ht="17.9" hidden="false" customHeight="false" outlineLevel="0" collapsed="false">
      <c r="A127" s="31" t="str">
        <f aca="false">VLOOKUP(LEFT($A128,4),'Auto Responses'!$N$4:$O$38,2,0)&amp;""</f>
        <v> Authentication, Authorization, and Account Management</v>
      </c>
      <c r="B127" s="42"/>
      <c r="C127" s="43"/>
      <c r="D127" s="43"/>
      <c r="E127" s="204"/>
      <c r="F127" s="192" t="s">
        <v>454</v>
      </c>
      <c r="G127" s="201" t="s">
        <v>449</v>
      </c>
      <c r="H127" s="201" t="s">
        <v>450</v>
      </c>
      <c r="I127" s="201" t="s">
        <v>451</v>
      </c>
      <c r="J127" s="201" t="s">
        <v>452</v>
      </c>
      <c r="K127" s="43"/>
      <c r="L127" s="1"/>
      <c r="M127" s="1"/>
      <c r="N127" s="1"/>
    </row>
    <row r="128" s="176" customFormat="true" ht="95.8" hidden="false" customHeight="false" outlineLevel="0" collapsed="false">
      <c r="A128" s="35" t="str">
        <f aca="false">Product!$A$20</f>
        <v>AAAI-01</v>
      </c>
      <c r="B128" s="36" t="str">
        <f aca="false">VLOOKUP($A128,Product!$A$13:$E$61,2,0)&amp;""</f>
        <v>Does your solution support single sign-on (SSO) protocols for user and administrator authentication?*</v>
      </c>
      <c r="C128" s="199" t="str">
        <f aca="false">VLOOKUP($A128,Product!$A$13:$E$61,3,0)&amp;""</f>
        <v/>
      </c>
      <c r="D128" s="68" t="str">
        <f aca="false">IF(LEFT(VLOOKUP($A128,Product!$A$13:$E$61,5,0),21)='Auto Responses'!$A$32,'Auto Responses'!$A$33,VLOOKUP($A128,Product!$A$13:$E$61,4,0))&amp;""</f>
        <v>This question does not apply.</v>
      </c>
      <c r="E128" s="206" t="str">
        <f aca="false">VLOOKUP($A128,Product!$A$13:$E$61,5,0)&amp;""</f>
        <v>Based on the response to REQU-01 on the "START HERE" tab, this question does not apply to this product or service. </v>
      </c>
      <c r="F128" s="212"/>
      <c r="G128" s="197" t="str">
        <f aca="false">VLOOKUP($A128,Questions!$A$2:$X$333,21,0)&amp;""</f>
        <v>Yes</v>
      </c>
      <c r="H128" s="198"/>
      <c r="I128" s="199" t="str">
        <f aca="false">VLOOKUP($A128,Questions!$A$2:$X$333,23,0)&amp;""</f>
        <v>Critical Importance</v>
      </c>
      <c r="J128" s="198"/>
      <c r="K128" s="200" t="b">
        <f aca="false">FALSE()</f>
        <v>0</v>
      </c>
      <c r="L128" s="1"/>
    </row>
    <row r="129" s="176" customFormat="true" ht="31.3" hidden="false" customHeight="false" outlineLevel="0" collapsed="false">
      <c r="A129" s="35" t="str">
        <f aca="false">Product!$A$21</f>
        <v>AAAI-02</v>
      </c>
      <c r="B129" s="36" t="str">
        <f aca="false">VLOOKUP($A129,Product!$A$13:$E$61,2,0)&amp;""</f>
        <v>For customers not using SSO, does your solution support local authentication protocols for user and administrator authentication?*</v>
      </c>
      <c r="C129" s="199" t="str">
        <f aca="false">VLOOKUP($A129,Product!$A$13:$E$61,3,0)&amp;""</f>
        <v/>
      </c>
      <c r="D129" s="68" t="str">
        <f aca="false">IF(LEFT(VLOOKUP($A129,Product!$A$13:$E$61,5,0),21)='Auto Responses'!$A$32,'Auto Responses'!$A$33,VLOOKUP($A129,Product!$A$13:$E$61,4,0))&amp;""</f>
        <v>This question does not apply.</v>
      </c>
      <c r="E129" s="206" t="str">
        <f aca="false">VLOOKUP($A129,Product!$A$13:$E$61,5,0)&amp;""</f>
        <v>Based on the response to REQU-01 on the "START HERE" tab, this question does not apply to this product or service. </v>
      </c>
      <c r="F129" s="212"/>
      <c r="G129" s="197" t="str">
        <f aca="false">VLOOKUP($A129,Questions!$A$2:$X$333,21,0)&amp;""</f>
        <v>Yes</v>
      </c>
      <c r="H129" s="198"/>
      <c r="I129" s="199" t="str">
        <f aca="false">VLOOKUP($A129,Questions!$A$2:$X$333,23,0)&amp;""</f>
        <v>Critical Importance</v>
      </c>
      <c r="J129" s="198"/>
      <c r="K129" s="200" t="b">
        <f aca="false">FALSE()</f>
        <v>0</v>
      </c>
      <c r="L129" s="1"/>
    </row>
    <row r="130" s="176" customFormat="true" ht="31.3" hidden="false" customHeight="false" outlineLevel="0" collapsed="false">
      <c r="A130" s="35" t="str">
        <f aca="false">Product!$A$22</f>
        <v>AAAI-03</v>
      </c>
      <c r="B130" s="36" t="str">
        <f aca="false">VLOOKUP($A130,Product!$A$13:$E$61,2,0)&amp;""</f>
        <v>For customers not using SSO, can you enforce password/passphrase complexity requirements (provided by the institution)?*</v>
      </c>
      <c r="C130" s="199" t="str">
        <f aca="false">VLOOKUP($A130,Product!$A$13:$E$61,3,0)&amp;""</f>
        <v/>
      </c>
      <c r="D130" s="68" t="str">
        <f aca="false">IF(LEFT(VLOOKUP($A130,Product!$A$13:$E$61,5,0),21)='Auto Responses'!$A$32,'Auto Responses'!$A$33,VLOOKUP($A130,Product!$A$13:$E$61,4,0))&amp;""</f>
        <v>This question does not apply.</v>
      </c>
      <c r="E130" s="206" t="str">
        <f aca="false">VLOOKUP($A130,Product!$A$13:$E$61,5,0)&amp;""</f>
        <v>Based on the response to REQU-01 on the "START HERE" tab, this question does not apply to this product or service. </v>
      </c>
      <c r="F130" s="212"/>
      <c r="G130" s="197" t="str">
        <f aca="false">VLOOKUP($A130,Questions!$A$2:$X$333,21,0)&amp;""</f>
        <v>Yes</v>
      </c>
      <c r="H130" s="198"/>
      <c r="I130" s="199" t="str">
        <f aca="false">VLOOKUP($A130,Questions!$A$2:$X$333,23,0)&amp;""</f>
        <v>Critical Importance</v>
      </c>
      <c r="J130" s="198"/>
      <c r="K130" s="200" t="b">
        <f aca="false">FALSE()</f>
        <v>0</v>
      </c>
      <c r="L130" s="1"/>
    </row>
    <row r="131" s="176" customFormat="true" ht="116.4" hidden="false" customHeight="false" outlineLevel="0" collapsed="false">
      <c r="A131" s="35" t="str">
        <f aca="false">Product!$A$23</f>
        <v>AAAI-04</v>
      </c>
      <c r="B131" s="36" t="str">
        <f aca="false">VLOOKUP($A131,Product!$A$13:$E$61,2,0)&amp;""</f>
        <v>For customers not using SSO, does the system have password complexity or length limitations and/or restrictions?*</v>
      </c>
      <c r="C131" s="199" t="str">
        <f aca="false">VLOOKUP($A131,Product!$A$13:$E$61,3,0)&amp;""</f>
        <v/>
      </c>
      <c r="D131" s="68" t="str">
        <f aca="false">IF(LEFT(VLOOKUP($A131,Product!$A$13:$E$61,5,0),21)='Auto Responses'!$A$32,'Auto Responses'!$A$33,VLOOKUP($A131,Product!$A$13:$E$61,4,0))&amp;""</f>
        <v>This question does not apply.</v>
      </c>
      <c r="E131" s="206" t="str">
        <f aca="false">VLOOKUP($A131,Product!$A$13:$E$61,5,0)&amp;""</f>
        <v>Based on the response to REQU-01 on the "START HERE" tab, this question does not apply to this product or service. </v>
      </c>
      <c r="F131" s="212"/>
      <c r="G131" s="197" t="str">
        <f aca="false">VLOOKUP($A131,Questions!$A$2:$X$333,21,0)&amp;""</f>
        <v>No</v>
      </c>
      <c r="H131" s="198"/>
      <c r="I131" s="199" t="str">
        <f aca="false">VLOOKUP($A131,Questions!$A$2:$X$333,23,0)&amp;""</f>
        <v>Critical Importance</v>
      </c>
      <c r="J131" s="198"/>
      <c r="K131" s="200" t="b">
        <f aca="false">FALSE()</f>
        <v>0</v>
      </c>
      <c r="L131" s="1"/>
    </row>
    <row r="132" s="176" customFormat="true" ht="46.25" hidden="false" customHeight="false" outlineLevel="0" collapsed="false">
      <c r="A132" s="35" t="str">
        <f aca="false">Product!$A$24</f>
        <v>AAAI-05</v>
      </c>
      <c r="B132" s="36" t="str">
        <f aca="false">VLOOKUP($A132,Product!$A$13:$E$61,2,0)&amp;""</f>
        <v>For customers not using SSO, do you have documented password/passphrase reset procedures that are currently implemented in the system and/or customer support?*</v>
      </c>
      <c r="C132" s="199" t="str">
        <f aca="false">VLOOKUP($A132,Product!$A$13:$E$61,3,0)&amp;""</f>
        <v/>
      </c>
      <c r="D132" s="68" t="str">
        <f aca="false">IF(LEFT(VLOOKUP($A132,Product!$A$13:$E$61,5,0),21)='Auto Responses'!$A$32,'Auto Responses'!$A$33,VLOOKUP($A132,Product!$A$13:$E$61,4,0))&amp;""</f>
        <v>This question does not apply.</v>
      </c>
      <c r="E132" s="206" t="str">
        <f aca="false">VLOOKUP($A132,Product!$A$13:$E$61,5,0)&amp;""</f>
        <v>Based on the response to REQU-01 on the "START HERE" tab, this question does not apply to this product or service. </v>
      </c>
      <c r="F132" s="212"/>
      <c r="G132" s="197" t="str">
        <f aca="false">VLOOKUP($A132,Questions!$A$2:$X$333,21,0)&amp;""</f>
        <v>Yes</v>
      </c>
      <c r="H132" s="198"/>
      <c r="I132" s="199" t="str">
        <f aca="false">VLOOKUP($A132,Questions!$A$2:$X$333,23,0)&amp;""</f>
        <v>Critical Importance</v>
      </c>
      <c r="J132" s="198"/>
      <c r="K132" s="200" t="b">
        <f aca="false">FALSE()</f>
        <v>0</v>
      </c>
      <c r="L132" s="1"/>
    </row>
    <row r="133" s="176" customFormat="true" ht="31.3" hidden="false" customHeight="false" outlineLevel="0" collapsed="false">
      <c r="A133" s="35" t="str">
        <f aca="false">Product!$A$25</f>
        <v>AAAI-06</v>
      </c>
      <c r="B133" s="36" t="str">
        <f aca="false">VLOOKUP($A133,Product!$A$13:$E$61,2,0)&amp;""</f>
        <v>Does your organization participate in InCommon or another eduGAIN-affiliated trust federation?*</v>
      </c>
      <c r="C133" s="199" t="str">
        <f aca="false">VLOOKUP($A133,Product!$A$13:$E$61,3,0)&amp;""</f>
        <v/>
      </c>
      <c r="D133" s="68" t="str">
        <f aca="false">IF(LEFT(VLOOKUP($A133,Product!$A$13:$E$61,5,0),21)='Auto Responses'!$A$32,'Auto Responses'!$A$33,VLOOKUP($A133,Product!$A$13:$E$61,4,0))&amp;""</f>
        <v>This question does not apply.</v>
      </c>
      <c r="E133" s="206" t="str">
        <f aca="false">VLOOKUP($A133,Product!$A$13:$E$61,5,0)&amp;""</f>
        <v>Based on the response to REQU-01 on the "START HERE" tab, this question does not apply to this product or service. </v>
      </c>
      <c r="F133" s="212"/>
      <c r="G133" s="197" t="str">
        <f aca="false">VLOOKUP($A133,Questions!$A$2:$X$333,21,0)&amp;""</f>
        <v>Yes</v>
      </c>
      <c r="H133" s="198"/>
      <c r="I133" s="199" t="str">
        <f aca="false">VLOOKUP($A133,Questions!$A$2:$X$333,23,0)&amp;""</f>
        <v>Critical Importance</v>
      </c>
      <c r="J133" s="198"/>
      <c r="K133" s="200" t="b">
        <f aca="false">FALSE()</f>
        <v>0</v>
      </c>
      <c r="L133" s="1"/>
    </row>
    <row r="134" s="176" customFormat="true" ht="31.3" hidden="false" customHeight="false" outlineLevel="0" collapsed="false">
      <c r="A134" s="35" t="str">
        <f aca="false">Product!$A$26</f>
        <v>AAAI-07</v>
      </c>
      <c r="B134" s="36" t="str">
        <f aca="false">VLOOKUP($A134,Product!$A$13:$E$61,2,0)&amp;""</f>
        <v>Are there any passwords/passphrases hard-coded into your systems or solutions?*</v>
      </c>
      <c r="C134" s="199" t="str">
        <f aca="false">VLOOKUP($A134,Product!$A$13:$E$61,3,0)&amp;""</f>
        <v/>
      </c>
      <c r="D134" s="68" t="str">
        <f aca="false">IF(LEFT(VLOOKUP($A134,Product!$A$13:$E$61,5,0),21)='Auto Responses'!$A$32,'Auto Responses'!$A$33,VLOOKUP($A134,Product!$A$13:$E$61,4,0))&amp;""</f>
        <v>This question does not apply.</v>
      </c>
      <c r="E134" s="206" t="str">
        <f aca="false">VLOOKUP($A134,Product!$A$13:$E$61,5,0)&amp;""</f>
        <v>Based on the response to REQU-01 on the "START HERE" tab, this question does not apply to this product or service. </v>
      </c>
      <c r="F134" s="212"/>
      <c r="G134" s="197" t="str">
        <f aca="false">VLOOKUP($A134,Questions!$A$2:$X$333,21,0)&amp;""</f>
        <v>No</v>
      </c>
      <c r="H134" s="198"/>
      <c r="I134" s="199" t="str">
        <f aca="false">VLOOKUP($A134,Questions!$A$2:$X$333,23,0)&amp;""</f>
        <v>Critical Importance</v>
      </c>
      <c r="J134" s="198"/>
      <c r="K134" s="200" t="b">
        <f aca="false">FALSE()</f>
        <v>0</v>
      </c>
      <c r="L134" s="1"/>
    </row>
    <row r="135" s="176" customFormat="true" ht="17.9" hidden="false" customHeight="false" outlineLevel="0" collapsed="false">
      <c r="A135" s="35" t="str">
        <f aca="false">Product!$A$27</f>
        <v>AAAI-08</v>
      </c>
      <c r="B135" s="36" t="str">
        <f aca="false">VLOOKUP($A135,Product!$A$13:$E$61,2,0)&amp;""</f>
        <v>Are you storing any passwords in plaintext?*</v>
      </c>
      <c r="C135" s="199" t="str">
        <f aca="false">VLOOKUP($A135,Product!$A$13:$E$61,3,0)&amp;""</f>
        <v/>
      </c>
      <c r="D135" s="68" t="str">
        <f aca="false">IF(LEFT(VLOOKUP($A135,Product!$A$13:$E$61,5,0),21)='Auto Responses'!$A$32,'Auto Responses'!$A$33,VLOOKUP($A135,Product!$A$13:$E$61,4,0))&amp;""</f>
        <v>This question does not apply.</v>
      </c>
      <c r="E135" s="206" t="str">
        <f aca="false">VLOOKUP($A135,Product!$A$13:$E$61,5,0)&amp;""</f>
        <v>Based on the response to REQU-01 on the "START HERE" tab, this question does not apply to this product or service. </v>
      </c>
      <c r="F135" s="212"/>
      <c r="G135" s="197" t="str">
        <f aca="false">VLOOKUP($A135,Questions!$A$2:$X$333,21,0)&amp;""</f>
        <v>No</v>
      </c>
      <c r="H135" s="198"/>
      <c r="I135" s="199" t="str">
        <f aca="false">VLOOKUP($A135,Questions!$A$2:$X$333,23,0)&amp;""</f>
        <v>Critical Importance</v>
      </c>
      <c r="J135" s="198"/>
      <c r="K135" s="200" t="b">
        <f aca="false">FALSE()</f>
        <v>0</v>
      </c>
      <c r="L135" s="1"/>
    </row>
    <row r="136" s="176" customFormat="true" ht="31.3" hidden="false" customHeight="false" outlineLevel="0" collapsed="false">
      <c r="A136" s="35" t="str">
        <f aca="false">Product!$A$28</f>
        <v>AAAI-09</v>
      </c>
      <c r="B136" s="36" t="str">
        <f aca="false">VLOOKUP($A136,Product!$A$13:$E$61,2,0)&amp;""</f>
        <v>Are audit logs available that include AT LEAST all of the following: login, logout, actions performed, and source IP address?*</v>
      </c>
      <c r="C136" s="199" t="str">
        <f aca="false">VLOOKUP($A136,Product!$A$13:$E$61,3,0)&amp;""</f>
        <v/>
      </c>
      <c r="D136" s="68" t="str">
        <f aca="false">IF(LEFT(VLOOKUP($A136,Product!$A$13:$E$61,5,0),21)='Auto Responses'!$A$32,'Auto Responses'!$A$33,VLOOKUP($A136,Product!$A$13:$E$61,4,0))&amp;""</f>
        <v>This question does not apply.</v>
      </c>
      <c r="E136" s="206" t="str">
        <f aca="false">VLOOKUP($A136,Product!$A$13:$E$61,5,0)&amp;""</f>
        <v>Based on the response to REQU-01 on the "START HERE" tab, this question does not apply to this product or service. </v>
      </c>
      <c r="F136" s="212"/>
      <c r="G136" s="197" t="str">
        <f aca="false">VLOOKUP($A136,Questions!$A$2:$X$333,21,0)&amp;""</f>
        <v>Yes</v>
      </c>
      <c r="H136" s="198"/>
      <c r="I136" s="199" t="str">
        <f aca="false">VLOOKUP($A136,Questions!$A$2:$X$333,23,0)&amp;""</f>
        <v>Critical Importance</v>
      </c>
      <c r="J136" s="198"/>
      <c r="K136" s="200" t="b">
        <f aca="false">FALSE()</f>
        <v>0</v>
      </c>
      <c r="L136" s="1"/>
    </row>
    <row r="137" s="176" customFormat="true" ht="91" hidden="false" customHeight="false" outlineLevel="0" collapsed="false">
      <c r="A137" s="35" t="str">
        <f aca="false">Product!$A$29</f>
        <v>AAAI-10</v>
      </c>
      <c r="B137" s="36" t="str">
        <f aca="false">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203" t="str">
        <f aca="false">VLOOKUP($A137,Product!$A$13:$E$61,3,0)&amp;""</f>
        <v/>
      </c>
      <c r="D137" s="214" t="str">
        <f aca="false">IF(LEFT(VLOOKUP($A137,Product!$A$13:$E$61,5,0),21)='Auto Responses'!$A$32,'Auto Responses'!$A$33,VLOOKUP($A137,Product!$A$13:$E$61,4,0))&amp;""</f>
        <v>This question does not apply.</v>
      </c>
      <c r="E137" s="206" t="str">
        <f aca="false">VLOOKUP($A137,Product!$A$13:$E$61,5,0)&amp;""</f>
        <v>Based on the response to REQU-01 on the "START HERE" tab, this question does not apply to this product or service. </v>
      </c>
      <c r="F137" s="212"/>
      <c r="G137" s="197" t="str">
        <f aca="false">VLOOKUP($A137,Questions!$A$2:$X$333,21,0)&amp;""</f>
        <v>Not scored</v>
      </c>
      <c r="H137" s="198"/>
      <c r="I137" s="199" t="str">
        <f aca="false">VLOOKUP($A137,Questions!$A$2:$X$333,23,0)&amp;""</f>
        <v/>
      </c>
      <c r="J137" s="198"/>
      <c r="K137" s="200" t="b">
        <f aca="false">FALSE()</f>
        <v>0</v>
      </c>
      <c r="L137" s="1"/>
    </row>
    <row r="138" s="176" customFormat="true" ht="67.15" hidden="false" customHeight="false" outlineLevel="0" collapsed="false">
      <c r="A138" s="35" t="str">
        <f aca="false">Product!$A$30</f>
        <v>AAAI-11</v>
      </c>
      <c r="B138" s="36" t="str">
        <f aca="false">VLOOKUP($A138,Product!$A$13:$E$61,2,0)&amp;""</f>
        <v>Can you provide the institution documentation regarding the retention period for those logs, how logs are protected, and whether they are accessible to the customer (and if so, how)?*</v>
      </c>
      <c r="C138" s="199" t="str">
        <f aca="false">VLOOKUP($A138,Product!$A$13:$E$61,3,0)&amp;""</f>
        <v/>
      </c>
      <c r="D138" s="68" t="str">
        <f aca="false">IF(LEFT(VLOOKUP($A138,Product!$A$13:$E$61,5,0),21)='Auto Responses'!$A$32,'Auto Responses'!$A$33,VLOOKUP($A138,Product!$A$13:$E$61,4,0))&amp;""</f>
        <v>This question does not apply.</v>
      </c>
      <c r="E138" s="206" t="str">
        <f aca="false">VLOOKUP($A138,Product!$A$13:$E$61,5,0)&amp;""</f>
        <v>Based on the response to REQU-01 on the "START HERE" tab, this question does not apply to this product or service. </v>
      </c>
      <c r="F138" s="212"/>
      <c r="G138" s="197" t="str">
        <f aca="false">VLOOKUP($A138,Questions!$A$2:$X$333,21,0)&amp;""</f>
        <v>Yes</v>
      </c>
      <c r="H138" s="198"/>
      <c r="I138" s="199" t="str">
        <f aca="false">VLOOKUP($A138,Questions!$A$2:$X$333,23,0)&amp;""</f>
        <v>Critical Importance</v>
      </c>
      <c r="J138" s="198"/>
      <c r="K138" s="200" t="b">
        <f aca="false">FALSE()</f>
        <v>0</v>
      </c>
      <c r="L138" s="1"/>
    </row>
    <row r="139" s="1" customFormat="true" ht="31.3" hidden="false" customHeight="false" outlineLevel="0" collapsed="false">
      <c r="A139" s="35" t="str">
        <f aca="false">Product!$A$31</f>
        <v>AAAI-12</v>
      </c>
      <c r="B139" s="36" t="str">
        <f aca="false">VLOOKUP($A139,Product!$A$13:$E$61,2,0)&amp;""</f>
        <v>For customers not using SSO, does your application support integration with other authentication and authorization systems?</v>
      </c>
      <c r="C139" s="199" t="str">
        <f aca="false">VLOOKUP($A139,Product!$A$13:$E$61,3,0)&amp;""</f>
        <v/>
      </c>
      <c r="D139" s="68" t="str">
        <f aca="false">IF(LEFT(VLOOKUP($A139,Product!$A$13:$E$61,5,0),21)='Auto Responses'!$A$73,'Auto Responses'!$A$74,VLOOKUP($A139,Product!$A$13:$E$61,4,0))&amp;""</f>
        <v/>
      </c>
      <c r="E139" s="206" t="str">
        <f aca="false">VLOOKUP($A139,Product!$A$13:$E$61,5,0)&amp;""</f>
        <v>Based on the response to REQU-01 on the "START HERE" tab, this question does not apply to this product or service. </v>
      </c>
      <c r="F139" s="212"/>
      <c r="G139" s="197" t="str">
        <f aca="false">VLOOKUP($A139,Questions!$A$2:$X$333,21,0)&amp;""</f>
        <v>Yes</v>
      </c>
      <c r="H139" s="198"/>
      <c r="I139" s="199" t="str">
        <f aca="false">VLOOKUP($A139,Questions!$A$2:$X$333,23,0)&amp;""</f>
        <v>Standard Importance</v>
      </c>
      <c r="J139" s="198"/>
      <c r="K139" s="200" t="b">
        <f aca="false">FALSE()</f>
        <v>0</v>
      </c>
      <c r="M139" s="176"/>
      <c r="N139" s="176"/>
    </row>
    <row r="140" s="176" customFormat="true" ht="46.25" hidden="false" customHeight="false" outlineLevel="0" collapsed="false">
      <c r="A140" s="35" t="str">
        <f aca="false">Product!$A$32</f>
        <v>AAAI-13</v>
      </c>
      <c r="B140" s="36" t="str">
        <f aca="false">VLOOKUP($A140,Product!$A$13:$E$61,2,0)&amp;""</f>
        <v>Do you allow the customer to specify attribute mappings for any needed information beyond a user identifier? (e.g., Reference eduPerson, ePPA/ePPN/ePE)</v>
      </c>
      <c r="C140" s="199" t="str">
        <f aca="false">VLOOKUP($A140,Product!$A$13:$E$61,3,0)&amp;""</f>
        <v/>
      </c>
      <c r="D140" s="68" t="str">
        <f aca="false">IF(LEFT(VLOOKUP($A140,Product!$A$13:$E$61,5,0),21)='Auto Responses'!$A$73,'Auto Responses'!$A$74,VLOOKUP($A140,Product!$A$13:$E$61,4,0))&amp;""</f>
        <v/>
      </c>
      <c r="E140" s="206" t="str">
        <f aca="false">VLOOKUP($A140,Product!$A$13:$E$61,5,0)&amp;""</f>
        <v>Based on the response to REQU-01 on the "START HERE" tab, this question does not apply to this product or service. </v>
      </c>
      <c r="F140" s="212"/>
      <c r="G140" s="197" t="str">
        <f aca="false">VLOOKUP($A140,Questions!$A$2:$X$333,21,0)&amp;""</f>
        <v>Yes</v>
      </c>
      <c r="H140" s="198"/>
      <c r="I140" s="199" t="str">
        <f aca="false">VLOOKUP($A140,Questions!$A$2:$X$333,23,0)&amp;""</f>
        <v>Standard Importance</v>
      </c>
      <c r="J140" s="198"/>
      <c r="K140" s="200" t="b">
        <f aca="false">FALSE()</f>
        <v>0</v>
      </c>
      <c r="L140" s="1"/>
    </row>
    <row r="141" s="176" customFormat="true" ht="31.3" hidden="false" customHeight="false" outlineLevel="0" collapsed="false">
      <c r="A141" s="35" t="str">
        <f aca="false">Product!$A$33</f>
        <v>AAAI-14</v>
      </c>
      <c r="B141" s="36" t="str">
        <f aca="false">VLOOKUP($A141,Product!$A$13:$E$61,2,0)&amp;""</f>
        <v>For customers not using SSO, does your application support directory integration for user accounts?</v>
      </c>
      <c r="C141" s="199" t="str">
        <f aca="false">VLOOKUP($A141,Product!$A$13:$E$61,3,0)&amp;""</f>
        <v/>
      </c>
      <c r="D141" s="68" t="str">
        <f aca="false">IF(LEFT(VLOOKUP($A141,Product!$A$13:$E$61,5,0),21)='Auto Responses'!$A$73,'Auto Responses'!$A$74,VLOOKUP($A141,Product!$A$13:$E$61,4,0))&amp;""</f>
        <v/>
      </c>
      <c r="E141" s="206" t="str">
        <f aca="false">VLOOKUP($A141,Product!$A$13:$E$61,5,0)&amp;""</f>
        <v>Based on the response to REQU-01 on the "START HERE" tab, this question does not apply to this product or service. </v>
      </c>
      <c r="F141" s="212"/>
      <c r="G141" s="197" t="str">
        <f aca="false">VLOOKUP($A141,Questions!$A$2:$X$333,21,0)&amp;""</f>
        <v>Yes</v>
      </c>
      <c r="H141" s="198"/>
      <c r="I141" s="199" t="str">
        <f aca="false">VLOOKUP($A141,Questions!$A$2:$X$333,23,0)&amp;""</f>
        <v>Standard Importance</v>
      </c>
      <c r="J141" s="198"/>
      <c r="K141" s="200" t="b">
        <f aca="false">FALSE()</f>
        <v>0</v>
      </c>
      <c r="L141" s="1"/>
    </row>
    <row r="142" s="176" customFormat="true" ht="132.8" hidden="false" customHeight="false" outlineLevel="0" collapsed="false">
      <c r="A142" s="35" t="str">
        <f aca="false">Product!$A$34</f>
        <v>AAAI-15</v>
      </c>
      <c r="B142" s="36" t="str">
        <f aca="false">VLOOKUP($A142,Product!$A$13:$E$61,2,0)&amp;""</f>
        <v>Does your solution support any of the following web SSO standards: SAML2 (with redirect flow), OIDC, CAS, or other?</v>
      </c>
      <c r="C142" s="199" t="str">
        <f aca="false">VLOOKUP($A142,Product!$A$13:$E$61,3,0)&amp;""</f>
        <v/>
      </c>
      <c r="D142" s="68" t="str">
        <f aca="false">IF(LEFT(VLOOKUP($A142,Product!$A$13:$E$61,5,0),21)='Auto Responses'!$A$73,'Auto Responses'!$A$74,VLOOKUP($A142,Product!$A$13:$E$61,4,0))&amp;""</f>
        <v/>
      </c>
      <c r="E142" s="206" t="str">
        <f aca="false">VLOOKUP($A142,Product!$A$13:$E$61,5,0)&amp;""</f>
        <v>Based on the response to REQU-01 on the "START HERE" tab, this question does not apply to this product or service. </v>
      </c>
      <c r="F142" s="212"/>
      <c r="G142" s="197" t="str">
        <f aca="false">VLOOKUP($A142,Questions!$A$2:$X$333,21,0)&amp;""</f>
        <v>Yes</v>
      </c>
      <c r="H142" s="198"/>
      <c r="I142" s="199" t="str">
        <f aca="false">VLOOKUP($A142,Questions!$A$2:$X$333,23,0)&amp;""</f>
        <v>Minor Importance</v>
      </c>
      <c r="J142" s="198"/>
      <c r="K142" s="200" t="b">
        <f aca="false">FALSE()</f>
        <v>0</v>
      </c>
      <c r="L142" s="1"/>
    </row>
    <row r="143" s="176" customFormat="true" ht="31.3" hidden="false" customHeight="false" outlineLevel="0" collapsed="false">
      <c r="A143" s="35" t="str">
        <f aca="false">Product!$A$35</f>
        <v>AAAI-16</v>
      </c>
      <c r="B143" s="36" t="str">
        <f aca="false">VLOOKUP($A143,Product!$A$13:$E$61,2,0)&amp;""</f>
        <v>Do you support differentiation between email address and user identifier?</v>
      </c>
      <c r="C143" s="199" t="str">
        <f aca="false">VLOOKUP($A143,Product!$A$13:$E$61,3,0)&amp;""</f>
        <v/>
      </c>
      <c r="D143" s="68" t="str">
        <f aca="false">IF(LEFT(VLOOKUP($A143,Product!$A$13:$E$61,5,0),21)='Auto Responses'!$A$73,'Auto Responses'!$A$74,VLOOKUP($A143,Product!$A$13:$E$61,4,0))&amp;""</f>
        <v/>
      </c>
      <c r="E143" s="206" t="str">
        <f aca="false">VLOOKUP($A143,Product!$A$13:$E$61,5,0)&amp;""</f>
        <v>Based on the response to REQU-01 on the "START HERE" tab, this question does not apply to this product or service. </v>
      </c>
      <c r="F143" s="212"/>
      <c r="G143" s="197" t="str">
        <f aca="false">VLOOKUP($A143,Questions!$A$2:$X$333,21,0)&amp;""</f>
        <v>Yes</v>
      </c>
      <c r="H143" s="198"/>
      <c r="I143" s="199" t="str">
        <f aca="false">VLOOKUP($A143,Questions!$A$2:$X$333,23,0)&amp;""</f>
        <v>Minor Importance</v>
      </c>
      <c r="J143" s="198"/>
      <c r="K143" s="200" t="b">
        <f aca="false">FALSE()</f>
        <v>0</v>
      </c>
      <c r="L143" s="1"/>
    </row>
    <row r="144" s="176" customFormat="true" ht="46.25" hidden="false" customHeight="false" outlineLevel="0" collapsed="false">
      <c r="A144" s="35" t="str">
        <f aca="false">Product!$A$36</f>
        <v>AAAI-17</v>
      </c>
      <c r="B144" s="36" t="str">
        <f aca="false">VLOOKUP($A144,Product!$A$13:$E$61,2,0)&amp;""</f>
        <v>For customers not using SSO, does your application and/or user frontend/portal support multifactor authentication (e.g., Duo, Google Authenticator, OTP, etc.)?</v>
      </c>
      <c r="C144" s="199" t="str">
        <f aca="false">VLOOKUP($A144,Product!$A$13:$E$61,3,0)&amp;""</f>
        <v/>
      </c>
      <c r="D144" s="68" t="str">
        <f aca="false">IF(LEFT(VLOOKUP($A144,Product!$A$13:$E$61,5,0),21)='Auto Responses'!$A$73,'Auto Responses'!$A$74,VLOOKUP($A144,Product!$A$13:$E$61,4,0))&amp;""</f>
        <v/>
      </c>
      <c r="E144" s="206" t="str">
        <f aca="false">VLOOKUP($A144,Product!$A$13:$E$61,5,0)&amp;""</f>
        <v>Based on the response to REQU-01 on the "START HERE" tab, this question does not apply to this product or service. </v>
      </c>
      <c r="F144" s="212"/>
      <c r="G144" s="197" t="str">
        <f aca="false">VLOOKUP($A144,Questions!$A$2:$X$333,21,0)&amp;""</f>
        <v>Yes</v>
      </c>
      <c r="H144" s="198"/>
      <c r="I144" s="199" t="str">
        <f aca="false">VLOOKUP($A144,Questions!$A$2:$X$333,23,0)&amp;""</f>
        <v>Minor Importance</v>
      </c>
      <c r="J144" s="198"/>
      <c r="K144" s="200" t="b">
        <f aca="false">FALSE()</f>
        <v>0</v>
      </c>
      <c r="L144" s="1"/>
    </row>
    <row r="145" s="176" customFormat="true" ht="31.3" hidden="false" customHeight="false" outlineLevel="0" collapsed="false">
      <c r="A145" s="35" t="str">
        <f aca="false">Product!$A$37</f>
        <v>AAAI-18</v>
      </c>
      <c r="B145" s="36" t="str">
        <f aca="false">VLOOKUP($A145,Product!$A$13:$E$61,2,0)&amp;""</f>
        <v>Does your application automatically lock the session or log out an account after a period of inactivity?</v>
      </c>
      <c r="C145" s="199" t="str">
        <f aca="false">VLOOKUP($A145,Product!$A$13:$E$61,3,0)&amp;""</f>
        <v/>
      </c>
      <c r="D145" s="68" t="str">
        <f aca="false">IF(LEFT(VLOOKUP($A145,Product!$A$13:$E$61,5,0),21)='Auto Responses'!$A$73,'Auto Responses'!$A$74,VLOOKUP($A145,Product!$A$13:$E$61,4,0))&amp;""</f>
        <v/>
      </c>
      <c r="E145" s="206" t="str">
        <f aca="false">VLOOKUP($A145,Product!$A$13:$E$61,5,0)&amp;""</f>
        <v>Based on the response to REQU-01 on the "START HERE" tab, this question does not apply to this product or service. </v>
      </c>
      <c r="F145" s="212"/>
      <c r="G145" s="197" t="str">
        <f aca="false">VLOOKUP($A145,Questions!$A$2:$X$333,21,0)&amp;""</f>
        <v>Yes</v>
      </c>
      <c r="H145" s="198"/>
      <c r="I145" s="199" t="str">
        <f aca="false">VLOOKUP($A145,Questions!$A$2:$X$333,23,0)&amp;""</f>
        <v>Minor Importance</v>
      </c>
      <c r="J145" s="198"/>
      <c r="K145" s="200" t="b">
        <f aca="false">FALSE()</f>
        <v>0</v>
      </c>
      <c r="L145" s="1"/>
    </row>
    <row r="146" s="176" customFormat="true" ht="17.9" hidden="false" customHeight="false" outlineLevel="0" collapsed="false">
      <c r="A146" s="31" t="str">
        <f aca="false">VLOOKUP(LEFT($A147,4),'Auto Responses'!$N$4:$O$38,2,0)&amp;""</f>
        <v> Data</v>
      </c>
      <c r="B146" s="42"/>
      <c r="C146" s="43"/>
      <c r="D146" s="43"/>
      <c r="E146" s="204"/>
      <c r="F146" s="192" t="s">
        <v>454</v>
      </c>
      <c r="G146" s="201" t="s">
        <v>449</v>
      </c>
      <c r="H146" s="201" t="s">
        <v>450</v>
      </c>
      <c r="I146" s="201" t="s">
        <v>451</v>
      </c>
      <c r="J146" s="201" t="s">
        <v>452</v>
      </c>
      <c r="K146" s="43"/>
      <c r="L146" s="1"/>
      <c r="M146" s="1"/>
      <c r="N146" s="1"/>
    </row>
    <row r="147" s="176" customFormat="true" ht="46.25" hidden="false" customHeight="false" outlineLevel="0" collapsed="false">
      <c r="A147" s="35" t="str">
        <f aca="false">Product!$A$39</f>
        <v>DATA-01</v>
      </c>
      <c r="B147" s="36" t="str">
        <f aca="false">VLOOKUP($A147,Product!$A$13:$E$61,2,0)&amp;""</f>
        <v>Will the institution's data be stored on any devices (database servers, file servers, SAN, NAS, etc.) configured with non-RFC 1918/4193 (i.e., publicly routable) IP addresses?*</v>
      </c>
      <c r="C147" s="199" t="str">
        <f aca="false">VLOOKUP($A147,Product!$A$13:$E$61,3,0)&amp;""</f>
        <v/>
      </c>
      <c r="D147" s="68" t="str">
        <f aca="false">IF(LEFT(VLOOKUP($A147,Product!$A$13:$E$61,5,0),21)='Auto Responses'!$A$32,'Auto Responses'!$A$33,VLOOKUP($A147,Product!$A$13:$E$61,4,0))&amp;""</f>
        <v>This question does not apply.</v>
      </c>
      <c r="E147" s="206" t="str">
        <f aca="false">VLOOKUP($A147,Product!$A$13:$E$61,5,0)&amp;""</f>
        <v>Based on the response to REQU-01 on the "START HERE" tab, this question does not apply to this product or service. </v>
      </c>
      <c r="F147" s="212"/>
      <c r="G147" s="197" t="str">
        <f aca="false">VLOOKUP($A147,Questions!$A$2:$X$333,21,0)&amp;""</f>
        <v>No</v>
      </c>
      <c r="H147" s="198"/>
      <c r="I147" s="199" t="str">
        <f aca="false">VLOOKUP($A147,Questions!$A$2:$X$333,23,0)&amp;""</f>
        <v>Critical Importance</v>
      </c>
      <c r="J147" s="198"/>
      <c r="K147" s="200" t="b">
        <f aca="false">FALSE()</f>
        <v>0</v>
      </c>
      <c r="L147" s="1"/>
    </row>
    <row r="148" s="176" customFormat="true" ht="31.3" hidden="false" customHeight="false" outlineLevel="0" collapsed="false">
      <c r="A148" s="35" t="str">
        <f aca="false">Product!$A$40</f>
        <v>DATA-02</v>
      </c>
      <c r="B148" s="36" t="str">
        <f aca="false">VLOOKUP($A148,Product!$A$13:$E$61,2,0)&amp;""</f>
        <v>Is the transport of sensitive data encrypted using security protocols/algorithms (e.g., system-to-client)?*</v>
      </c>
      <c r="C148" s="199" t="str">
        <f aca="false">VLOOKUP($A148,Product!$A$13:$E$61,3,0)&amp;""</f>
        <v/>
      </c>
      <c r="D148" s="68" t="str">
        <f aca="false">IF(LEFT(VLOOKUP($A148,Product!$A$13:$E$61,5,0),21)='Auto Responses'!$A$32,'Auto Responses'!$A$33,VLOOKUP($A148,Product!$A$13:$E$61,4,0))&amp;""</f>
        <v>This question does not apply.</v>
      </c>
      <c r="E148" s="206" t="str">
        <f aca="false">VLOOKUP($A148,Product!$A$13:$E$61,5,0)&amp;""</f>
        <v>Based on the response to REQU-01 on the "START HERE" tab, this question does not apply to this product or service. </v>
      </c>
      <c r="F148" s="212"/>
      <c r="G148" s="197" t="str">
        <f aca="false">VLOOKUP($A148,Questions!$A$2:$X$333,21,0)&amp;""</f>
        <v>Yes</v>
      </c>
      <c r="H148" s="198"/>
      <c r="I148" s="199" t="str">
        <f aca="false">VLOOKUP($A148,Questions!$A$2:$X$333,23,0)&amp;""</f>
        <v>Critical Importance</v>
      </c>
      <c r="J148" s="198"/>
      <c r="K148" s="200" t="b">
        <f aca="false">FALSE()</f>
        <v>0</v>
      </c>
      <c r="L148" s="1"/>
    </row>
    <row r="149" s="176" customFormat="true" ht="46.25" hidden="false" customHeight="false" outlineLevel="0" collapsed="false">
      <c r="A149" s="35" t="str">
        <f aca="false">Product!$A$41</f>
        <v>DATA-03</v>
      </c>
      <c r="B149" s="36" t="str">
        <f aca="false">VLOOKUP($A149,Product!$A$13:$E$61,2,0)&amp;""</f>
        <v>Is the storage of sensitive data encrypted using security protocols/algorithms (e.g., disk encryption, at-rest, files, and within a running database)?*</v>
      </c>
      <c r="C149" s="199" t="str">
        <f aca="false">VLOOKUP($A149,Product!$A$13:$E$61,3,0)&amp;""</f>
        <v/>
      </c>
      <c r="D149" s="68" t="str">
        <f aca="false">IF(LEFT(VLOOKUP($A149,Product!$A$13:$E$61,5,0),21)='Auto Responses'!$A$32,'Auto Responses'!$A$33,VLOOKUP($A149,Product!$A$13:$E$61,4,0))&amp;""</f>
        <v>This question does not apply.</v>
      </c>
      <c r="E149" s="206" t="str">
        <f aca="false">VLOOKUP($A149,Product!$A$13:$E$61,5,0)&amp;""</f>
        <v>Based on the response to REQU-01 on the "START HERE" tab, this question does not apply to this product or service. </v>
      </c>
      <c r="F149" s="212"/>
      <c r="G149" s="197" t="str">
        <f aca="false">VLOOKUP($A149,Questions!$A$2:$X$333,21,0)&amp;""</f>
        <v>Yes</v>
      </c>
      <c r="H149" s="198"/>
      <c r="I149" s="199" t="str">
        <f aca="false">VLOOKUP($A149,Questions!$A$2:$X$333,23,0)&amp;""</f>
        <v>Critical Importance</v>
      </c>
      <c r="J149" s="198"/>
      <c r="K149" s="200" t="b">
        <f aca="false">FALSE()</f>
        <v>0</v>
      </c>
      <c r="L149" s="1"/>
    </row>
    <row r="150" s="176" customFormat="true" ht="31.3" hidden="false" customHeight="false" outlineLevel="0" collapsed="false">
      <c r="A150" s="35" t="str">
        <f aca="false">Product!$A$42</f>
        <v>DATA-04</v>
      </c>
      <c r="B150" s="36" t="str">
        <f aca="false">VLOOKUP($A150,Product!$A$13:$E$61,2,0)&amp;""</f>
        <v>Do all cryptographic modules in use in your solution conform to the Federal Information Processing Standards (FIPS PUB 140-2 or 140-3)?*</v>
      </c>
      <c r="C150" s="199" t="str">
        <f aca="false">VLOOKUP($A150,Product!$A$13:$E$61,3,0)&amp;""</f>
        <v/>
      </c>
      <c r="D150" s="68" t="str">
        <f aca="false">IF(LEFT(VLOOKUP($A150,Product!$A$13:$E$61,5,0),21)='Auto Responses'!$A$32,'Auto Responses'!$A$33,VLOOKUP($A150,Product!$A$13:$E$61,4,0))&amp;""</f>
        <v>This question does not apply.</v>
      </c>
      <c r="E150" s="206" t="str">
        <f aca="false">VLOOKUP($A150,Product!$A$13:$E$61,5,0)&amp;""</f>
        <v>Based on the response to REQU-01 on the "START HERE" tab, this question does not apply to this product or service. </v>
      </c>
      <c r="F150" s="212"/>
      <c r="G150" s="197" t="str">
        <f aca="false">VLOOKUP($A150,Questions!$A$2:$X$333,21,0)&amp;""</f>
        <v>Yes</v>
      </c>
      <c r="H150" s="198"/>
      <c r="I150" s="199" t="str">
        <f aca="false">VLOOKUP($A150,Questions!$A$2:$X$333,23,0)&amp;""</f>
        <v>Critical Importance</v>
      </c>
      <c r="J150" s="198"/>
      <c r="K150" s="200" t="b">
        <f aca="false">FALSE()</f>
        <v>0</v>
      </c>
      <c r="L150" s="1"/>
    </row>
    <row r="151" s="176" customFormat="true" ht="31.3" hidden="false" customHeight="false" outlineLevel="0" collapsed="false">
      <c r="A151" s="35" t="str">
        <f aca="false">Product!$A$43</f>
        <v>DATA-05</v>
      </c>
      <c r="B151" s="36" t="str">
        <f aca="false">VLOOKUP($A151,Product!$A$13:$E$61,2,0)&amp;""</f>
        <v>Will the institution's data be available within the system for a period of time at the completion of this contract?*</v>
      </c>
      <c r="C151" s="199" t="str">
        <f aca="false">VLOOKUP($A151,Product!$A$13:$E$61,3,0)&amp;""</f>
        <v/>
      </c>
      <c r="D151" s="68" t="str">
        <f aca="false">IF(LEFT(VLOOKUP($A151,Product!$A$13:$E$61,5,0),21)='Auto Responses'!$A$32,'Auto Responses'!$A$33,VLOOKUP($A151,Product!$A$13:$E$61,4,0))&amp;""</f>
        <v>This question does not apply.</v>
      </c>
      <c r="E151" s="206" t="str">
        <f aca="false">VLOOKUP($A151,Product!$A$13:$E$61,5,0)&amp;""</f>
        <v>Based on the response to REQU-01 on the "START HERE" tab, this question does not apply to this product or service. </v>
      </c>
      <c r="F151" s="212"/>
      <c r="G151" s="197" t="str">
        <f aca="false">VLOOKUP($A151,Questions!$A$2:$X$333,21,0)&amp;""</f>
        <v>Yes</v>
      </c>
      <c r="H151" s="198"/>
      <c r="I151" s="199" t="str">
        <f aca="false">VLOOKUP($A151,Questions!$A$2:$X$333,23,0)&amp;""</f>
        <v>Critical Importance</v>
      </c>
      <c r="J151" s="198"/>
      <c r="K151" s="200" t="b">
        <f aca="false">FALSE()</f>
        <v>0</v>
      </c>
      <c r="L151" s="1"/>
    </row>
    <row r="152" s="176" customFormat="true" ht="31.3" hidden="false" customHeight="false" outlineLevel="0" collapsed="false">
      <c r="A152" s="35" t="str">
        <f aca="false">Product!$A$44</f>
        <v>DATA-06</v>
      </c>
      <c r="B152" s="36" t="str">
        <f aca="false">VLOOKUP($A152,Product!$A$13:$E$61,2,0)&amp;""</f>
        <v>Are ownership rights to all data, inputs, outputs, and metadata retained even through a provider acquisition or bankruptcy event?*</v>
      </c>
      <c r="C152" s="199" t="str">
        <f aca="false">VLOOKUP($A152,Product!$A$13:$E$61,3,0)&amp;""</f>
        <v/>
      </c>
      <c r="D152" s="68" t="str">
        <f aca="false">IF(LEFT(VLOOKUP($A152,Product!$A$13:$E$61,5,0),21)='Auto Responses'!$A$32,'Auto Responses'!$A$33,VLOOKUP($A152,Product!$A$13:$E$61,4,0))&amp;""</f>
        <v>This question does not apply.</v>
      </c>
      <c r="E152" s="206" t="str">
        <f aca="false">VLOOKUP($A152,Product!$A$13:$E$61,5,0)&amp;""</f>
        <v>Based on the response to REQU-01 on the "START HERE" tab, this question does not apply to this product or service. </v>
      </c>
      <c r="F152" s="212"/>
      <c r="G152" s="197" t="str">
        <f aca="false">VLOOKUP($A152,Questions!$A$2:$X$333,21,0)&amp;""</f>
        <v>Yes</v>
      </c>
      <c r="H152" s="198"/>
      <c r="I152" s="199" t="str">
        <f aca="false">VLOOKUP($A152,Questions!$A$2:$X$333,23,0)&amp;""</f>
        <v>Critical Importance</v>
      </c>
      <c r="J152" s="198"/>
      <c r="K152" s="200" t="b">
        <f aca="false">FALSE()</f>
        <v>0</v>
      </c>
      <c r="L152" s="1"/>
    </row>
    <row r="153" s="176" customFormat="true" ht="31.3" hidden="false" customHeight="false" outlineLevel="0" collapsed="false">
      <c r="A153" s="35" t="str">
        <f aca="false">Product!$A$45</f>
        <v>DATA-07</v>
      </c>
      <c r="B153" s="36" t="str">
        <f aca="false">VLOOKUP($A153,Product!$A$13:$E$61,2,0)&amp;""</f>
        <v>Do backups containing the institution's data ever leave the institution's data zone either physically or via network routing?*</v>
      </c>
      <c r="C153" s="199" t="str">
        <f aca="false">VLOOKUP($A153,Product!$A$13:$E$61,3,0)&amp;""</f>
        <v/>
      </c>
      <c r="D153" s="68" t="str">
        <f aca="false">IF(LEFT(VLOOKUP($A153,Product!$A$13:$E$61,5,0),21)='Auto Responses'!$A$32,'Auto Responses'!$A$33,VLOOKUP($A153,Product!$A$13:$E$61,4,0))&amp;""</f>
        <v>This question does not apply.</v>
      </c>
      <c r="E153" s="206" t="str">
        <f aca="false">VLOOKUP($A153,Product!$A$13:$E$61,5,0)&amp;""</f>
        <v>Based on the response to REQU-01 on the "START HERE" tab, this question does not apply to this product or service. </v>
      </c>
      <c r="F153" s="212"/>
      <c r="G153" s="197" t="str">
        <f aca="false">VLOOKUP($A153,Questions!$A$2:$X$333,21,0)&amp;""</f>
        <v>No</v>
      </c>
      <c r="H153" s="198"/>
      <c r="I153" s="199" t="str">
        <f aca="false">VLOOKUP($A153,Questions!$A$2:$X$333,23,0)&amp;""</f>
        <v>Critical Importance</v>
      </c>
      <c r="J153" s="198"/>
      <c r="K153" s="200" t="b">
        <f aca="false">FALSE()</f>
        <v>0</v>
      </c>
      <c r="L153" s="1"/>
    </row>
    <row r="154" s="176" customFormat="true" ht="31.3" hidden="false" customHeight="false" outlineLevel="0" collapsed="false">
      <c r="A154" s="35" t="str">
        <f aca="false">Product!$A$46</f>
        <v>DATA-08</v>
      </c>
      <c r="B154" s="36" t="str">
        <f aca="false">VLOOKUP($A154,Product!$A$13:$E$61,2,0)&amp;""</f>
        <v>Is media used for long-term retention of business data and archival purposes stored in a secure, environmentally protected area?*</v>
      </c>
      <c r="C154" s="199" t="str">
        <f aca="false">VLOOKUP($A154,Product!$A$13:$E$61,3,0)&amp;""</f>
        <v/>
      </c>
      <c r="D154" s="68" t="str">
        <f aca="false">IF(LEFT(VLOOKUP($A154,Product!$A$13:$E$61,5,0),21)='Auto Responses'!$A$32,'Auto Responses'!$A$33,VLOOKUP($A154,Product!$A$13:$E$61,4,0))&amp;""</f>
        <v>This question does not apply.</v>
      </c>
      <c r="E154" s="206" t="str">
        <f aca="false">VLOOKUP($A154,Product!$A$13:$E$61,5,0)&amp;""</f>
        <v>Based on the response to REQU-01 on the "START HERE" tab, this question does not apply to this product or service. </v>
      </c>
      <c r="F154" s="212"/>
      <c r="G154" s="197" t="str">
        <f aca="false">VLOOKUP($A154,Questions!$A$2:$X$333,21,0)&amp;""</f>
        <v>Yes</v>
      </c>
      <c r="H154" s="198"/>
      <c r="I154" s="199" t="str">
        <f aca="false">VLOOKUP($A154,Questions!$A$2:$X$333,23,0)&amp;""</f>
        <v>Critical Importance</v>
      </c>
      <c r="J154" s="198"/>
      <c r="K154" s="200" t="b">
        <f aca="false">FALSE()</f>
        <v>0</v>
      </c>
      <c r="L154" s="1"/>
    </row>
    <row r="155" s="176" customFormat="true" ht="50.7" hidden="false" customHeight="false" outlineLevel="0" collapsed="false">
      <c r="A155" s="35" t="str">
        <f aca="false">Product!$A$47</f>
        <v>DATA-09</v>
      </c>
      <c r="B155" s="36" t="str">
        <f aca="false">VLOOKUP($A155,Product!$A$13:$E$61,2,0)&amp;""</f>
        <v>At the completion of this contract, will data be returned to the institution and/or deleted from all your systems and archives?</v>
      </c>
      <c r="C155" s="199" t="str">
        <f aca="false">VLOOKUP($A155,Product!$A$13:$E$61,3,0)&amp;""</f>
        <v/>
      </c>
      <c r="D155" s="68" t="str">
        <f aca="false">IF(LEFT(VLOOKUP($A155,Product!$A$13:$E$61,5,0),21)='Auto Responses'!$A$32,'Auto Responses'!$A$33,VLOOKUP($A155,Product!$A$13:$E$61,4,0))&amp;""</f>
        <v>This question does not apply.</v>
      </c>
      <c r="E155" s="206" t="str">
        <f aca="false">VLOOKUP($A155,Product!$A$13:$E$61,5,0)&amp;""</f>
        <v>Based on the response to REQU-01 on the "START HERE" tab, this question does not apply to this product or service. </v>
      </c>
      <c r="F155" s="212"/>
      <c r="G155" s="197" t="str">
        <f aca="false">VLOOKUP($A155,Questions!$A$2:$X$333,21,0)&amp;""</f>
        <v>Yes</v>
      </c>
      <c r="H155" s="198"/>
      <c r="I155" s="199" t="str">
        <f aca="false">VLOOKUP($A155,Questions!$A$2:$X$333,23,0)&amp;""</f>
        <v>Standard Importance</v>
      </c>
      <c r="J155" s="198"/>
      <c r="K155" s="200" t="b">
        <f aca="false">FALSE()</f>
        <v>0</v>
      </c>
      <c r="L155" s="1"/>
    </row>
    <row r="156" s="176" customFormat="true" ht="17.9" hidden="false" customHeight="false" outlineLevel="0" collapsed="false">
      <c r="A156" s="35" t="str">
        <f aca="false">Product!$A$48</f>
        <v>DATA-10</v>
      </c>
      <c r="B156" s="36" t="str">
        <f aca="false">VLOOKUP($A156,Product!$A$13:$E$61,2,0)&amp;""</f>
        <v>Can the institution extract a full or partial backup of data?</v>
      </c>
      <c r="C156" s="199" t="str">
        <f aca="false">VLOOKUP($A156,Product!$A$13:$E$61,3,0)&amp;""</f>
        <v/>
      </c>
      <c r="D156" s="68" t="str">
        <f aca="false">IF(LEFT(VLOOKUP($A156,Product!$A$13:$E$61,5,0),21)='Auto Responses'!$A$32,'Auto Responses'!$A$33,VLOOKUP($A156,Product!$A$13:$E$61,4,0))&amp;""</f>
        <v>This question does not apply.</v>
      </c>
      <c r="E156" s="206" t="str">
        <f aca="false">VLOOKUP($A156,Product!$A$13:$E$61,5,0)&amp;""</f>
        <v>Based on the response to REQU-01 on the "START HERE" tab, this question does not apply to this product or service. </v>
      </c>
      <c r="F156" s="212"/>
      <c r="G156" s="197" t="str">
        <f aca="false">VLOOKUP($A156,Questions!$A$2:$X$333,21,0)&amp;""</f>
        <v>Yes</v>
      </c>
      <c r="H156" s="198"/>
      <c r="I156" s="199" t="str">
        <f aca="false">VLOOKUP($A156,Questions!$A$2:$X$333,23,0)&amp;""</f>
        <v>Standard Importance</v>
      </c>
      <c r="J156" s="198"/>
      <c r="K156" s="200" t="b">
        <f aca="false">FALSE()</f>
        <v>0</v>
      </c>
      <c r="L156" s="1"/>
    </row>
    <row r="157" s="176" customFormat="true" ht="46.25" hidden="false" customHeight="false" outlineLevel="0" collapsed="false">
      <c r="A157" s="35" t="str">
        <f aca="false">Product!$A$49</f>
        <v>DATA-11</v>
      </c>
      <c r="B157" s="36" t="str">
        <f aca="false">VLOOKUP($A157,Product!$A$13:$E$61,2,0)&amp;""</f>
        <v>Do current backups include all operating system software, utilities, security software, application software, and data files necessary for recovery?</v>
      </c>
      <c r="C157" s="199" t="str">
        <f aca="false">VLOOKUP($A157,Product!$A$13:$E$61,3,0)&amp;""</f>
        <v/>
      </c>
      <c r="D157" s="68" t="str">
        <f aca="false">IF(LEFT(VLOOKUP($A157,Product!$A$13:$E$61,5,0),21)='Auto Responses'!$A$32,'Auto Responses'!$A$33,VLOOKUP($A157,Product!$A$13:$E$61,4,0))&amp;""</f>
        <v>This question does not apply.</v>
      </c>
      <c r="E157" s="206" t="str">
        <f aca="false">VLOOKUP($A157,Product!$A$13:$E$61,5,0)&amp;""</f>
        <v>Based on the response to REQU-01 on the "START HERE" tab, this question does not apply to this product or service. </v>
      </c>
      <c r="F157" s="212"/>
      <c r="G157" s="197" t="str">
        <f aca="false">VLOOKUP($A157,Questions!$A$2:$X$333,21,0)&amp;""</f>
        <v>Yes</v>
      </c>
      <c r="H157" s="198"/>
      <c r="I157" s="199" t="str">
        <f aca="false">VLOOKUP($A157,Questions!$A$2:$X$333,23,0)&amp;""</f>
        <v>Standard Importance</v>
      </c>
      <c r="J157" s="198"/>
      <c r="K157" s="200" t="b">
        <f aca="false">FALSE()</f>
        <v>0</v>
      </c>
      <c r="L157" s="1"/>
    </row>
    <row r="158" s="176" customFormat="true" ht="17.9" hidden="false" customHeight="false" outlineLevel="0" collapsed="false">
      <c r="A158" s="35" t="str">
        <f aca="false">Product!$A$50</f>
        <v>DATA-12</v>
      </c>
      <c r="B158" s="36" t="str">
        <f aca="false">VLOOKUP($A158,Product!$A$13:$E$61,2,0)&amp;""</f>
        <v>Are you performing off-site backups (i.e., digitally moved off site)?</v>
      </c>
      <c r="C158" s="199" t="str">
        <f aca="false">VLOOKUP($A158,Product!$A$13:$E$61,3,0)&amp;""</f>
        <v/>
      </c>
      <c r="D158" s="68" t="str">
        <f aca="false">IF(LEFT(VLOOKUP($A158,Product!$A$13:$E$61,5,0),21)='Auto Responses'!$A$32,'Auto Responses'!$A$33,VLOOKUP($A158,Product!$A$13:$E$61,4,0))&amp;""</f>
        <v>This question does not apply.</v>
      </c>
      <c r="E158" s="206" t="str">
        <f aca="false">VLOOKUP($A158,Product!$A$13:$E$61,5,0)&amp;""</f>
        <v>Based on the response to REQU-01 on the "START HERE" tab, this question does not apply to this product or service. </v>
      </c>
      <c r="F158" s="212"/>
      <c r="G158" s="197" t="str">
        <f aca="false">VLOOKUP($A158,Questions!$A$2:$X$333,21,0)&amp;""</f>
        <v>Yes</v>
      </c>
      <c r="H158" s="198"/>
      <c r="I158" s="199" t="str">
        <f aca="false">VLOOKUP($A158,Questions!$A$2:$X$333,23,0)&amp;""</f>
        <v>Standard Importance</v>
      </c>
      <c r="J158" s="198"/>
      <c r="K158" s="200" t="b">
        <f aca="false">FALSE()</f>
        <v>0</v>
      </c>
      <c r="L158" s="1"/>
    </row>
    <row r="159" s="176" customFormat="true" ht="17.9" hidden="false" customHeight="false" outlineLevel="0" collapsed="false">
      <c r="A159" s="35" t="str">
        <f aca="false">Product!$A$51</f>
        <v>DATA-13</v>
      </c>
      <c r="B159" s="36" t="str">
        <f aca="false">VLOOKUP($A159,Product!$A$13:$E$61,2,0)&amp;""</f>
        <v>Are physical backups taken off-site (i.e., physically moved off site)?</v>
      </c>
      <c r="C159" s="199" t="str">
        <f aca="false">VLOOKUP($A159,Product!$A$13:$E$61,3,0)&amp;""</f>
        <v/>
      </c>
      <c r="D159" s="68" t="str">
        <f aca="false">IF(LEFT(VLOOKUP($A159,Product!$A$13:$E$61,5,0),21)='Auto Responses'!$A$32,'Auto Responses'!$A$33,VLOOKUP($A159,Product!$A$13:$E$61,4,0))&amp;""</f>
        <v>This question does not apply.</v>
      </c>
      <c r="E159" s="206" t="str">
        <f aca="false">VLOOKUP($A159,Product!$A$13:$E$61,5,0)&amp;""</f>
        <v>Based on the response to REQU-01 on the "START HERE" tab, this question does not apply to this product or service. </v>
      </c>
      <c r="F159" s="212"/>
      <c r="G159" s="197" t="str">
        <f aca="false">VLOOKUP($A159,Questions!$A$2:$X$333,21,0)&amp;""</f>
        <v>Yes</v>
      </c>
      <c r="H159" s="198"/>
      <c r="I159" s="199" t="str">
        <f aca="false">VLOOKUP($A159,Questions!$A$2:$X$333,23,0)&amp;""</f>
        <v>Standard Importance</v>
      </c>
      <c r="J159" s="198"/>
      <c r="K159" s="200" t="b">
        <f aca="false">FALSE()</f>
        <v>0</v>
      </c>
      <c r="L159" s="1"/>
    </row>
    <row r="160" s="176" customFormat="true" ht="17.9" hidden="false" customHeight="false" outlineLevel="0" collapsed="false">
      <c r="A160" s="35" t="str">
        <f aca="false">Product!$A$52</f>
        <v>DATA-14</v>
      </c>
      <c r="B160" s="36" t="str">
        <f aca="false">VLOOKUP($A160,Product!$A$13:$E$61,2,0)&amp;""</f>
        <v>Are data backups encrypted?</v>
      </c>
      <c r="C160" s="199" t="str">
        <f aca="false">VLOOKUP($A160,Product!$A$13:$E$61,3,0)&amp;""</f>
        <v/>
      </c>
      <c r="D160" s="68" t="str">
        <f aca="false">IF(LEFT(VLOOKUP($A160,Product!$A$13:$E$61,5,0),21)='Auto Responses'!$A$32,'Auto Responses'!$A$33,VLOOKUP($A160,Product!$A$13:$E$61,4,0))&amp;""</f>
        <v>This question does not apply.</v>
      </c>
      <c r="E160" s="206" t="str">
        <f aca="false">VLOOKUP($A160,Product!$A$13:$E$61,5,0)&amp;""</f>
        <v>Based on the response to REQU-01 on the "START HERE" tab, this question does not apply to this product or service. </v>
      </c>
      <c r="F160" s="212"/>
      <c r="G160" s="197" t="str">
        <f aca="false">VLOOKUP($A160,Questions!$A$2:$X$333,21,0)&amp;""</f>
        <v>Yes</v>
      </c>
      <c r="H160" s="198"/>
      <c r="I160" s="199" t="str">
        <f aca="false">VLOOKUP($A160,Questions!$A$2:$X$333,23,0)&amp;""</f>
        <v>Minor Importance</v>
      </c>
      <c r="J160" s="198"/>
      <c r="K160" s="200" t="b">
        <f aca="false">FALSE()</f>
        <v>0</v>
      </c>
      <c r="L160" s="1"/>
    </row>
    <row r="161" s="176" customFormat="true" ht="61.15" hidden="false" customHeight="false" outlineLevel="0" collapsed="false">
      <c r="A161" s="35" t="str">
        <f aca="false">Product!$A$53</f>
        <v>DATA-15</v>
      </c>
      <c r="B161" s="36" t="str">
        <f aca="false">VLOOKUP($A161,Product!$A$13:$E$61,2,0)&amp;""</f>
        <v>Do you have a media handling process that is documented and currently implemented that meets established business needs and regulatory requirements, including end-of-life, repurposing, and data-sanitization procedures?</v>
      </c>
      <c r="C161" s="199" t="str">
        <f aca="false">VLOOKUP($A161,Product!$A$13:$E$61,3,0)&amp;""</f>
        <v/>
      </c>
      <c r="D161" s="68" t="str">
        <f aca="false">IF(LEFT(VLOOKUP($A161,Product!$A$13:$E$61,5,0),21)='Auto Responses'!$A$32,'Auto Responses'!$A$33,VLOOKUP($A161,Product!$A$13:$E$61,4,0))&amp;""</f>
        <v>This question does not apply.</v>
      </c>
      <c r="E161" s="206" t="str">
        <f aca="false">VLOOKUP($A161,Product!$A$13:$E$61,5,0)&amp;""</f>
        <v>Based on the response to REQU-01 on the "START HERE" tab, this question does not apply to this product or service. </v>
      </c>
      <c r="F161" s="212"/>
      <c r="G161" s="197" t="str">
        <f aca="false">VLOOKUP($A161,Questions!$A$2:$X$333,21,0)&amp;""</f>
        <v>Yes</v>
      </c>
      <c r="H161" s="198"/>
      <c r="I161" s="199" t="str">
        <f aca="false">VLOOKUP($A161,Questions!$A$2:$X$333,23,0)&amp;""</f>
        <v>Standard Importance</v>
      </c>
      <c r="J161" s="198"/>
      <c r="K161" s="200" t="b">
        <f aca="false">FALSE()</f>
        <v>0</v>
      </c>
      <c r="L161" s="1"/>
    </row>
    <row r="162" s="176" customFormat="true" ht="31.3" hidden="false" customHeight="false" outlineLevel="0" collapsed="false">
      <c r="A162" s="35" t="str">
        <f aca="false">Product!$A$54</f>
        <v>DATA-16</v>
      </c>
      <c r="B162" s="36" t="str">
        <f aca="false">VLOOKUP($A162,Product!$A$13:$E$61,2,0)&amp;""</f>
        <v>Does the process described in DATA-15 adhere to DoD 5220.22-M and/or NIST SP 800-88 standards?</v>
      </c>
      <c r="C162" s="199" t="str">
        <f aca="false">VLOOKUP($A162,Product!$A$13:$E$61,3,0)&amp;""</f>
        <v/>
      </c>
      <c r="D162" s="68" t="str">
        <f aca="false">IF(LEFT(VLOOKUP($A162,Product!$A$13:$E$61,5,0),21)='Auto Responses'!$A$32,'Auto Responses'!$A$33,VLOOKUP($A162,Product!$A$13:$E$61,4,0))&amp;""</f>
        <v>This question does not apply.</v>
      </c>
      <c r="E162" s="206" t="str">
        <f aca="false">VLOOKUP($A162,Product!$A$13:$E$61,5,0)&amp;""</f>
        <v>Based on the response to REQU-01 on the "START HERE" tab, this question does not apply to this product or service. </v>
      </c>
      <c r="F162" s="212"/>
      <c r="G162" s="197" t="str">
        <f aca="false">VLOOKUP($A162,Questions!$A$2:$X$333,21,0)&amp;""</f>
        <v>Yes</v>
      </c>
      <c r="H162" s="198"/>
      <c r="I162" s="199" t="str">
        <f aca="false">VLOOKUP($A162,Questions!$A$2:$X$333,23,0)&amp;""</f>
        <v>Standard Importance</v>
      </c>
      <c r="J162" s="198"/>
      <c r="K162" s="200" t="b">
        <f aca="false">FALSE()</f>
        <v>0</v>
      </c>
      <c r="L162" s="1"/>
    </row>
    <row r="163" s="1" customFormat="true" ht="31.3" hidden="false" customHeight="false" outlineLevel="0" collapsed="false">
      <c r="A163" s="35" t="str">
        <f aca="false">Product!$A$55</f>
        <v>DATA-17</v>
      </c>
      <c r="B163" s="36" t="str">
        <f aca="false">VLOOKUP($A163,Product!$A$13:$E$61,2,0)&amp;""</f>
        <v>Does your staff (or third party) have access to institutional data (e.g., financial, PHI, or other sensitive information) through any means?</v>
      </c>
      <c r="C163" s="199" t="str">
        <f aca="false">VLOOKUP($A163,Product!$A$13:$E$61,3,0)&amp;""</f>
        <v/>
      </c>
      <c r="D163" s="68" t="str">
        <f aca="false">IF(LEFT(VLOOKUP($A163,Product!$A$13:$E$61,5,0),21)='Auto Responses'!$A$32,'Auto Responses'!$A$33,VLOOKUP($A163,Product!$A$13:$E$61,4,0))&amp;""</f>
        <v>This question does not apply.</v>
      </c>
      <c r="E163" s="206" t="str">
        <f aca="false">VLOOKUP($A163,Product!$A$13:$E$61,5,0)&amp;""</f>
        <v>Based on the response to REQU-01 on the "START HERE" tab, this question does not apply to this product or service. </v>
      </c>
      <c r="F163" s="212"/>
      <c r="G163" s="197" t="str">
        <f aca="false">VLOOKUP($A163,Questions!$A$2:$X$333,21,0)&amp;""</f>
        <v>No</v>
      </c>
      <c r="H163" s="198"/>
      <c r="I163" s="199" t="str">
        <f aca="false">VLOOKUP($A163,Questions!$A$2:$X$333,23,0)&amp;""</f>
        <v>Standard Importance</v>
      </c>
      <c r="J163" s="198"/>
      <c r="K163" s="200" t="b">
        <f aca="false">FALSE()</f>
        <v>0</v>
      </c>
      <c r="M163" s="176"/>
      <c r="N163" s="176"/>
    </row>
    <row r="164" s="176" customFormat="true" ht="46.25" hidden="false" customHeight="false" outlineLevel="0" collapsed="false">
      <c r="A164" s="35" t="str">
        <f aca="false">Product!$A$56</f>
        <v>DATA-18</v>
      </c>
      <c r="B164" s="36" t="str">
        <f aca="false">VLOOKUP($A164,Product!$A$13:$E$61,2,0)&amp;""</f>
        <v>Do you have a documented and currently implemented strategy for securing employee workstations when they work remotely (i.e., not in a trusted computing environment)?</v>
      </c>
      <c r="C164" s="199" t="str">
        <f aca="false">VLOOKUP($A164,Product!$A$13:$E$61,3,0)&amp;""</f>
        <v/>
      </c>
      <c r="D164" s="68" t="str">
        <f aca="false">IF(LEFT(VLOOKUP($A164,Product!$A$13:$E$61,5,0),21)='Auto Responses'!$A$32,'Auto Responses'!$A$33,VLOOKUP($A164,Product!$A$13:$E$61,4,0))&amp;""</f>
        <v>This question does not apply.</v>
      </c>
      <c r="E164" s="206" t="str">
        <f aca="false">VLOOKUP($A164,Product!$A$13:$E$61,5,0)&amp;""</f>
        <v>Based on the response to REQU-01 on the "START HERE" tab, this question does not apply to this product or service. </v>
      </c>
      <c r="F164" s="212"/>
      <c r="G164" s="197" t="str">
        <f aca="false">VLOOKUP($A164,Questions!$A$2:$X$333,21,0)&amp;""</f>
        <v>Yes</v>
      </c>
      <c r="H164" s="198"/>
      <c r="I164" s="199" t="str">
        <f aca="false">VLOOKUP($A164,Questions!$A$2:$X$333,23,0)&amp;""</f>
        <v>Standard Importance</v>
      </c>
      <c r="J164" s="198"/>
      <c r="K164" s="200" t="b">
        <f aca="false">FALSE()</f>
        <v>0</v>
      </c>
      <c r="L164" s="1"/>
    </row>
    <row r="165" s="176" customFormat="true" ht="61.15" hidden="false" customHeight="false" outlineLevel="0" collapsed="false">
      <c r="A165" s="35" t="str">
        <f aca="false">Product!$A$57</f>
        <v>DATA-19</v>
      </c>
      <c r="B165" s="36" t="str">
        <f aca="false">VLOOKUP($A165,Product!$A$13:$E$61,2,0)&amp;""</f>
        <v>Does the environment provide for dedicated single-tenant capabilities? If not, describe how your solution or environment separates data from different customers (e.g., logically, physically, single tenancy, multi-tenancy).</v>
      </c>
      <c r="C165" s="199" t="str">
        <f aca="false">VLOOKUP($A165,Product!$A$13:$E$61,3,0)&amp;""</f>
        <v/>
      </c>
      <c r="D165" s="68" t="str">
        <f aca="false">IF(LEFT(VLOOKUP($A165,Product!$A$13:$E$61,5,0),21)='Auto Responses'!$A$32,'Auto Responses'!$A$33,VLOOKUP($A165,Product!$A$13:$E$61,4,0))&amp;""</f>
        <v>This question does not apply.</v>
      </c>
      <c r="E165" s="206" t="str">
        <f aca="false">VLOOKUP($A165,Product!$A$13:$E$61,5,0)&amp;""</f>
        <v>Based on the response to REQU-01 on the "START HERE" tab, this question does not apply to this product or service. </v>
      </c>
      <c r="F165" s="212"/>
      <c r="G165" s="197" t="str">
        <f aca="false">VLOOKUP($A165,Questions!$A$2:$X$333,21,0)&amp;""</f>
        <v>Yes</v>
      </c>
      <c r="H165" s="198"/>
      <c r="I165" s="199" t="str">
        <f aca="false">VLOOKUP($A165,Questions!$A$2:$X$333,23,0)&amp;""</f>
        <v>Minor Importance</v>
      </c>
      <c r="J165" s="198"/>
      <c r="K165" s="200" t="b">
        <f aca="false">FALSE()</f>
        <v>0</v>
      </c>
      <c r="L165" s="1"/>
    </row>
    <row r="166" s="176" customFormat="true" ht="31.3" hidden="false" customHeight="false" outlineLevel="0" collapsed="false">
      <c r="A166" s="35" t="str">
        <f aca="false">Product!$A$58</f>
        <v>DATA-20</v>
      </c>
      <c r="B166" s="36" t="str">
        <f aca="false">VLOOKUP($A166,Product!$A$13:$E$61,2,0)&amp;""</f>
        <v>Are ownership rights to all data, inputs, outputs, and metadata retained by the institution?</v>
      </c>
      <c r="C166" s="199" t="str">
        <f aca="false">VLOOKUP($A166,Product!$A$13:$E$61,3,0)&amp;""</f>
        <v/>
      </c>
      <c r="D166" s="68" t="str">
        <f aca="false">IF(LEFT(VLOOKUP($A166,Product!$A$13:$E$61,5,0),21)='Auto Responses'!$A$32,'Auto Responses'!$A$33,VLOOKUP($A166,Product!$A$13:$E$61,4,0))&amp;""</f>
        <v>This question does not apply.</v>
      </c>
      <c r="E166" s="206" t="str">
        <f aca="false">VLOOKUP($A166,Product!$A$13:$E$61,5,0)&amp;""</f>
        <v>Based on the response to REQU-01 on the "START HERE" tab, this question does not apply to this product or service. </v>
      </c>
      <c r="F166" s="212"/>
      <c r="G166" s="197" t="str">
        <f aca="false">VLOOKUP($A166,Questions!$A$2:$X$333,21,0)&amp;""</f>
        <v>Yes</v>
      </c>
      <c r="H166" s="198"/>
      <c r="I166" s="199" t="str">
        <f aca="false">VLOOKUP($A166,Questions!$A$2:$X$333,23,0)&amp;""</f>
        <v>Minor Importance</v>
      </c>
      <c r="J166" s="198"/>
      <c r="K166" s="200" t="b">
        <f aca="false">FALSE()</f>
        <v>0</v>
      </c>
      <c r="L166" s="1"/>
    </row>
    <row r="167" s="176" customFormat="true" ht="46.25" hidden="false" customHeight="false" outlineLevel="0" collapsed="false">
      <c r="A167" s="35" t="str">
        <f aca="false">Product!$A$59</f>
        <v>DATA-21</v>
      </c>
      <c r="B167" s="36" t="str">
        <f aca="false">VLOOKUP($A167,Product!$A$13:$E$61,2,0)&amp;""</f>
        <v>In the event of imminent bankruptcy, closing of business, or retirement of service, will you provide 90 days for customers to get their data out of the system and migrate applications?</v>
      </c>
      <c r="C167" s="199" t="str">
        <f aca="false">VLOOKUP($A167,Product!$A$13:$E$61,3,0)&amp;""</f>
        <v/>
      </c>
      <c r="D167" s="68" t="str">
        <f aca="false">IF(LEFT(VLOOKUP($A167,Product!$A$13:$E$61,5,0),21)='Auto Responses'!$A$32,'Auto Responses'!$A$33,VLOOKUP($A167,Product!$A$13:$E$61,4,0))&amp;""</f>
        <v>This question does not apply.</v>
      </c>
      <c r="E167" s="206" t="str">
        <f aca="false">VLOOKUP($A167,Product!$A$13:$E$61,5,0)&amp;""</f>
        <v>Based on the response to REQU-01 on the "START HERE" tab, this question does not apply to this product or service. </v>
      </c>
      <c r="F167" s="212"/>
      <c r="G167" s="197" t="str">
        <f aca="false">VLOOKUP($A167,Questions!$A$2:$X$333,21,0)&amp;""</f>
        <v>Yes</v>
      </c>
      <c r="H167" s="198"/>
      <c r="I167" s="199" t="str">
        <f aca="false">VLOOKUP($A167,Questions!$A$2:$X$333,23,0)&amp;""</f>
        <v>Minor Importance</v>
      </c>
      <c r="J167" s="198"/>
      <c r="K167" s="200" t="b">
        <f aca="false">FALSE()</f>
        <v>0</v>
      </c>
      <c r="L167" s="1"/>
    </row>
    <row r="168" s="176" customFormat="true" ht="67.15" hidden="false" customHeight="false" outlineLevel="0" collapsed="false">
      <c r="A168" s="35" t="str">
        <f aca="false">Product!$A$60</f>
        <v>DATA-22</v>
      </c>
      <c r="B168" s="36" t="str">
        <f aca="false">VLOOKUP($A168,Product!$A$13:$E$61,2,0)&amp;""</f>
        <v>Are involatile backup copies made according to predefined schedules and securely stored and protected?</v>
      </c>
      <c r="C168" s="199" t="str">
        <f aca="false">VLOOKUP($A168,Product!$A$13:$E$61,3,0)&amp;""</f>
        <v/>
      </c>
      <c r="D168" s="68" t="str">
        <f aca="false">IF(LEFT(VLOOKUP($A168,Product!$A$13:$E$61,5,0),21)='Auto Responses'!$A$32,'Auto Responses'!$A$33,VLOOKUP($A168,Product!$A$13:$E$61,4,0))&amp;""</f>
        <v>This question does not apply.</v>
      </c>
      <c r="E168" s="206" t="str">
        <f aca="false">VLOOKUP($A168,Product!$A$13:$E$61,5,0)&amp;""</f>
        <v>Based on the response to REQU-01 on the "START HERE" tab, this question does not apply to this product or service. </v>
      </c>
      <c r="F168" s="212"/>
      <c r="G168" s="197" t="str">
        <f aca="false">VLOOKUP($A168,Questions!$A$2:$X$333,21,0)&amp;""</f>
        <v>Yes</v>
      </c>
      <c r="H168" s="198"/>
      <c r="I168" s="199" t="str">
        <f aca="false">VLOOKUP($A168,Questions!$A$2:$X$333,23,0)&amp;""</f>
        <v>Minor Importance</v>
      </c>
      <c r="J168" s="198"/>
      <c r="K168" s="200" t="b">
        <f aca="false">FALSE()</f>
        <v>0</v>
      </c>
      <c r="L168" s="1"/>
    </row>
    <row r="169" s="176" customFormat="true" ht="61.15" hidden="false" customHeight="false" outlineLevel="0" collapsed="false">
      <c r="A169" s="35" t="str">
        <f aca="false">Product!$A$61</f>
        <v>DATA-23</v>
      </c>
      <c r="B169" s="36" t="str">
        <f aca="false">VLOOKUP($A169,Product!$A$13:$E$61,2,0)&amp;""</f>
        <v>Do you have a cryptographic key management process (generation, exchange, storage, safeguards, use, vetting, and replacement) that is documented and currently implemented, for all system components (e.g., database, system, web, etc.)?</v>
      </c>
      <c r="C169" s="199" t="str">
        <f aca="false">VLOOKUP($A169,Product!$A$13:$E$61,3,0)&amp;""</f>
        <v/>
      </c>
      <c r="D169" s="68" t="str">
        <f aca="false">IF(LEFT(VLOOKUP($A169,Product!$A$13:$E$61,5,0),21)='Auto Responses'!$A$32,'Auto Responses'!$A$33,VLOOKUP($A169,Product!$A$13:$E$61,4,0))&amp;""</f>
        <v>This question does not apply.</v>
      </c>
      <c r="E169" s="206" t="str">
        <f aca="false">VLOOKUP($A169,Product!$A$13:$E$61,5,0)&amp;""</f>
        <v>Based on the response to REQU-01 on the "START HERE" tab, this question does not apply to this product or service. </v>
      </c>
      <c r="F169" s="212"/>
      <c r="G169" s="197" t="str">
        <f aca="false">VLOOKUP($A169,Questions!$A$2:$X$333,21,0)&amp;""</f>
        <v>Yes</v>
      </c>
      <c r="H169" s="198"/>
      <c r="I169" s="199" t="str">
        <f aca="false">VLOOKUP($A169,Questions!$A$2:$X$333,23,0)&amp;""</f>
        <v>Minor Importance</v>
      </c>
      <c r="J169" s="198"/>
      <c r="K169" s="200" t="b">
        <f aca="false">FALSE()</f>
        <v>0</v>
      </c>
      <c r="L169" s="1"/>
    </row>
    <row r="170" s="176" customFormat="true" ht="17.9" hidden="false" customHeight="false" outlineLevel="0" collapsed="false">
      <c r="A170" s="31" t="str">
        <f aca="false">VLOOKUP(LEFT($A171,4),'Auto Responses'!$N$4:$O$38,2,0)&amp;""</f>
        <v> Application/Service Security</v>
      </c>
      <c r="B170" s="42"/>
      <c r="C170" s="43"/>
      <c r="D170" s="43"/>
      <c r="E170" s="204"/>
      <c r="F170" s="192" t="s">
        <v>454</v>
      </c>
      <c r="G170" s="201" t="s">
        <v>449</v>
      </c>
      <c r="H170" s="201" t="s">
        <v>450</v>
      </c>
      <c r="I170" s="201" t="s">
        <v>451</v>
      </c>
      <c r="J170" s="201" t="s">
        <v>452</v>
      </c>
      <c r="K170" s="43"/>
      <c r="L170" s="1"/>
      <c r="M170" s="1"/>
      <c r="N170" s="1"/>
    </row>
    <row r="171" s="176" customFormat="true" ht="182.05" hidden="false" customHeight="false" outlineLevel="0" collapsed="false">
      <c r="A171" s="35" t="str">
        <f aca="false">Infrastructure!$A$20</f>
        <v>APPL-01</v>
      </c>
      <c r="B171" s="36" t="str">
        <f aca="false">VLOOKUP($A171,Infrastructure!$A$13:$E$74,2,0)&amp;""</f>
        <v>Are access controls for institutional accounts based on structured rules, such as role-based access control (RBAC), attribute-based access control (ABAC), or policy-based access control (PBAC)?*</v>
      </c>
      <c r="C171" s="199" t="str">
        <f aca="false">VLOOKUP($A171,Infrastructure!$A$13:$E$74,3,0)&amp;""</f>
        <v/>
      </c>
      <c r="D171" s="68" t="str">
        <f aca="false">IF(LEFT(VLOOKUP($A171,Infrastructure!$A$13:$E$74,5,0),21)='Auto Responses'!$A$32,'Auto Responses'!$A$33,VLOOKUP($A171,Infrastructure!$A$13:$E$74,4,0))&amp;""</f>
        <v>This question does not apply.</v>
      </c>
      <c r="E171" s="206" t="str">
        <f aca="false">VLOOKUP($A171,Infrastructure!$A$13:$E$74,5,0)&amp;""</f>
        <v>Based on the response to REQU-01 on the "START HERE" tab, this question does not apply to this product or service. </v>
      </c>
      <c r="F171" s="212"/>
      <c r="G171" s="197" t="str">
        <f aca="false">VLOOKUP($A171,Questions!$A$2:$X$333,21,0)&amp;""</f>
        <v>Yes</v>
      </c>
      <c r="H171" s="198"/>
      <c r="I171" s="199" t="str">
        <f aca="false">VLOOKUP($A171,Questions!$A$2:$X$333,23,0)&amp;""</f>
        <v>Critical Importance</v>
      </c>
      <c r="J171" s="198"/>
      <c r="K171" s="200" t="b">
        <f aca="false">FALSE()</f>
        <v>0</v>
      </c>
      <c r="L171" s="1"/>
    </row>
    <row r="172" s="176" customFormat="true" ht="17.9" hidden="false" customHeight="false" outlineLevel="0" collapsed="false">
      <c r="A172" s="35" t="str">
        <f aca="false">Infrastructure!$A$21</f>
        <v>APPL-02</v>
      </c>
      <c r="B172" s="36" t="str">
        <f aca="false">VLOOKUP($A172,Infrastructure!$A$13:$E$74,2,0)&amp;""</f>
        <v>Are you using a web application firewall (WAF)?*</v>
      </c>
      <c r="C172" s="199" t="str">
        <f aca="false">VLOOKUP($A172,Infrastructure!$A$13:$E$74,3,0)&amp;""</f>
        <v/>
      </c>
      <c r="D172" s="68" t="str">
        <f aca="false">IF(LEFT(VLOOKUP($A172,Infrastructure!$A$13:$E$74,5,0),21)='Auto Responses'!$A$32,'Auto Responses'!$A$33,VLOOKUP($A172,Infrastructure!$A$13:$E$74,4,0))&amp;""</f>
        <v>This question does not apply.</v>
      </c>
      <c r="E172" s="206" t="str">
        <f aca="false">VLOOKUP($A172,Infrastructure!$A$13:$E$74,5,0)&amp;""</f>
        <v>Based on the response to REQU-01 on the "START HERE" tab, this question does not apply to this product or service. </v>
      </c>
      <c r="F172" s="212"/>
      <c r="G172" s="197" t="str">
        <f aca="false">VLOOKUP($A172,Questions!$A$2:$X$333,21,0)&amp;""</f>
        <v>Yes</v>
      </c>
      <c r="H172" s="198"/>
      <c r="I172" s="199" t="str">
        <f aca="false">VLOOKUP($A172,Questions!$A$2:$X$333,23,0)&amp;""</f>
        <v>Critical Importance</v>
      </c>
      <c r="J172" s="198"/>
      <c r="K172" s="200" t="b">
        <f aca="false">FALSE()</f>
        <v>0</v>
      </c>
      <c r="L172" s="1"/>
    </row>
    <row r="173" s="176" customFormat="true" ht="99.95" hidden="false" customHeight="false" outlineLevel="0" collapsed="false">
      <c r="A173" s="35" t="str">
        <f aca="false">Infrastructure!$A$22</f>
        <v>APPL-03</v>
      </c>
      <c r="B173" s="36" t="str">
        <f aca="false">VLOOKUP($A173,Infrastructure!$A$13:$E$74,2,0)&amp;""</f>
        <v>Are only currently supported operating system(s), software, and libraries leveraged by the system(s)/application(s) that will have access to institution's data?*</v>
      </c>
      <c r="C173" s="199" t="str">
        <f aca="false">VLOOKUP($A173,Infrastructure!$A$13:$E$74,3,0)&amp;""</f>
        <v/>
      </c>
      <c r="D173" s="68" t="str">
        <f aca="false">IF(LEFT(VLOOKUP($A173,Infrastructure!$A$13:$E$74,5,0),21)='Auto Responses'!$A$32,'Auto Responses'!$A$33,VLOOKUP($A173,Infrastructure!$A$13:$E$74,4,0))&amp;""</f>
        <v>This question does not apply.</v>
      </c>
      <c r="E173" s="206" t="str">
        <f aca="false">VLOOKUP($A173,Infrastructure!$A$13:$E$74,5,0)&amp;""</f>
        <v>Based on the response to REQU-01 on the "START HERE" tab, this question does not apply to this product or service. </v>
      </c>
      <c r="F173" s="212"/>
      <c r="G173" s="197" t="str">
        <f aca="false">VLOOKUP($A173,Questions!$A$2:$X$333,21,0)&amp;""</f>
        <v>Yes</v>
      </c>
      <c r="H173" s="198"/>
      <c r="I173" s="199" t="str">
        <f aca="false">VLOOKUP($A173,Questions!$A$2:$X$333,23,0)&amp;""</f>
        <v>Critical Importance</v>
      </c>
      <c r="J173" s="198"/>
      <c r="K173" s="200" t="b">
        <f aca="false">FALSE()</f>
        <v>0</v>
      </c>
      <c r="L173" s="1"/>
    </row>
    <row r="174" s="176" customFormat="true" ht="17.9" hidden="false" customHeight="false" outlineLevel="0" collapsed="false">
      <c r="A174" s="35" t="str">
        <f aca="false">Infrastructure!$A$23</f>
        <v>APPL-04</v>
      </c>
      <c r="B174" s="36" t="str">
        <f aca="false">VLOOKUP($A174,Infrastructure!$A$13:$E$74,2,0)&amp;""</f>
        <v>Does your application require access to location or GPS data?*</v>
      </c>
      <c r="C174" s="199" t="str">
        <f aca="false">VLOOKUP($A174,Infrastructure!$A$13:$E$74,3,0)&amp;""</f>
        <v/>
      </c>
      <c r="D174" s="68" t="str">
        <f aca="false">IF(LEFT(VLOOKUP($A174,Infrastructure!$A$13:$E$74,5,0),21)='Auto Responses'!$A$32,'Auto Responses'!$A$33,VLOOKUP($A174,Infrastructure!$A$13:$E$74,4,0))&amp;""</f>
        <v>This question does not apply.</v>
      </c>
      <c r="E174" s="206" t="str">
        <f aca="false">VLOOKUP($A174,Infrastructure!$A$13:$E$74,5,0)&amp;""</f>
        <v>Based on the response to REQU-01 on the "START HERE" tab, this question does not apply to this product or service. </v>
      </c>
      <c r="F174" s="212"/>
      <c r="G174" s="197" t="str">
        <f aca="false">VLOOKUP($A174,Questions!$A$2:$X$333,21,0)&amp;""</f>
        <v>No</v>
      </c>
      <c r="H174" s="198"/>
      <c r="I174" s="199" t="str">
        <f aca="false">VLOOKUP($A174,Questions!$A$2:$X$333,23,0)&amp;""</f>
        <v>Critical Importance</v>
      </c>
      <c r="J174" s="198"/>
      <c r="K174" s="200" t="b">
        <f aca="false">FALSE()</f>
        <v>0</v>
      </c>
      <c r="L174" s="1"/>
    </row>
    <row r="175" s="176" customFormat="true" ht="31.3" hidden="false" customHeight="false" outlineLevel="0" collapsed="false">
      <c r="A175" s="35" t="str">
        <f aca="false">Infrastructure!$A$24</f>
        <v>APPL-05</v>
      </c>
      <c r="B175" s="36" t="str">
        <f aca="false">VLOOKUP($A175,Infrastructure!$A$13:$E$74,2,0)&amp;""</f>
        <v>Does your application provide separation of duties between security administration, system administration, and standard user functions?*</v>
      </c>
      <c r="C175" s="199" t="str">
        <f aca="false">VLOOKUP($A175,Infrastructure!$A$13:$E$74,3,0)&amp;""</f>
        <v/>
      </c>
      <c r="D175" s="68" t="str">
        <f aca="false">IF(LEFT(VLOOKUP($A175,Infrastructure!$A$13:$E$74,5,0),21)='Auto Responses'!$A$32,'Auto Responses'!$A$33,VLOOKUP($A175,Infrastructure!$A$13:$E$74,4,0))&amp;""</f>
        <v>This question does not apply.</v>
      </c>
      <c r="E175" s="206" t="str">
        <f aca="false">VLOOKUP($A175,Infrastructure!$A$13:$E$74,5,0)&amp;""</f>
        <v>Based on the response to REQU-01 on the "START HERE" tab, this question does not apply to this product or service. </v>
      </c>
      <c r="F175" s="212"/>
      <c r="G175" s="197" t="str">
        <f aca="false">VLOOKUP($A175,Questions!$A$2:$X$333,21,0)&amp;""</f>
        <v>Yes</v>
      </c>
      <c r="H175" s="198"/>
      <c r="I175" s="199" t="str">
        <f aca="false">VLOOKUP($A175,Questions!$A$2:$X$333,23,0)&amp;""</f>
        <v>Critical Importance</v>
      </c>
      <c r="J175" s="198"/>
      <c r="K175" s="200" t="b">
        <f aca="false">FALSE()</f>
        <v>0</v>
      </c>
      <c r="L175" s="1"/>
    </row>
    <row r="176" s="176" customFormat="true" ht="31.3" hidden="false" customHeight="false" outlineLevel="0" collapsed="false">
      <c r="A176" s="35" t="str">
        <f aca="false">Infrastructure!$A$25</f>
        <v>APPL-06</v>
      </c>
      <c r="B176" s="36" t="str">
        <f aca="false">VLOOKUP($A176,Infrastructure!$A$13:$E$74,2,0)&amp;""</f>
        <v>Do you subject your code to static code analysis and/or static application security testing prior to release?*</v>
      </c>
      <c r="C176" s="199" t="str">
        <f aca="false">VLOOKUP($A176,Infrastructure!$A$13:$E$74,3,0)&amp;""</f>
        <v/>
      </c>
      <c r="D176" s="68" t="str">
        <f aca="false">IF(LEFT(VLOOKUP($A176,Infrastructure!$A$13:$E$74,5,0),21)='Auto Responses'!$A$32,'Auto Responses'!$A$33,VLOOKUP($A176,Infrastructure!$A$13:$E$74,4,0))&amp;""</f>
        <v>This question does not apply.</v>
      </c>
      <c r="E176" s="206" t="str">
        <f aca="false">VLOOKUP($A176,Infrastructure!$A$13:$E$74,5,0)&amp;""</f>
        <v>Based on the response to REQU-01 on the "START HERE" tab, this question does not apply to this product or service. </v>
      </c>
      <c r="F176" s="212"/>
      <c r="G176" s="197" t="str">
        <f aca="false">VLOOKUP($A176,Questions!$A$2:$X$333,21,0)&amp;""</f>
        <v>Yes</v>
      </c>
      <c r="H176" s="198"/>
      <c r="I176" s="199" t="str">
        <f aca="false">VLOOKUP($A176,Questions!$A$2:$X$333,23,0)&amp;""</f>
        <v>Critical Importance</v>
      </c>
      <c r="J176" s="198"/>
      <c r="K176" s="200" t="b">
        <f aca="false">FALSE()</f>
        <v>0</v>
      </c>
      <c r="L176" s="1"/>
    </row>
    <row r="177" s="176" customFormat="true" ht="31.3" hidden="false" customHeight="false" outlineLevel="0" collapsed="false">
      <c r="A177" s="35" t="str">
        <f aca="false">Infrastructure!$A$26</f>
        <v>APPL-07</v>
      </c>
      <c r="B177" s="36" t="str">
        <f aca="false">VLOOKUP($A177,Infrastructure!$A$13:$E$74,2,0)&amp;""</f>
        <v>Do you have software testing processes (dynamic or static) that are established and followed?*</v>
      </c>
      <c r="C177" s="199" t="str">
        <f aca="false">VLOOKUP($A177,Infrastructure!$A$13:$E$74,3,0)&amp;""</f>
        <v/>
      </c>
      <c r="D177" s="68" t="str">
        <f aca="false">IF(LEFT(VLOOKUP($A177,Infrastructure!$A$13:$E$74,5,0),21)='Auto Responses'!$A$32,'Auto Responses'!$A$33,VLOOKUP($A177,Infrastructure!$A$13:$E$74,4,0))&amp;""</f>
        <v>This question does not apply.</v>
      </c>
      <c r="E177" s="206" t="str">
        <f aca="false">VLOOKUP($A177,Infrastructure!$A$13:$E$74,5,0)&amp;""</f>
        <v>Based on the response to REQU-01 on the "START HERE" tab, this question does not apply to this product or service. </v>
      </c>
      <c r="F177" s="212"/>
      <c r="G177" s="197" t="str">
        <f aca="false">VLOOKUP($A177,Questions!$A$2:$X$333,21,0)&amp;""</f>
        <v>Yes</v>
      </c>
      <c r="H177" s="198"/>
      <c r="I177" s="199" t="str">
        <f aca="false">VLOOKUP($A177,Questions!$A$2:$X$333,23,0)&amp;""</f>
        <v>Critical Importance</v>
      </c>
      <c r="J177" s="198"/>
      <c r="K177" s="200" t="b">
        <f aca="false">FALSE()</f>
        <v>0</v>
      </c>
      <c r="L177" s="1"/>
    </row>
    <row r="178" s="1" customFormat="true" ht="198.5" hidden="false" customHeight="false" outlineLevel="0" collapsed="false">
      <c r="A178" s="35" t="str">
        <f aca="false">Infrastructure!$A$27</f>
        <v>APPL-08</v>
      </c>
      <c r="B178" s="36" t="str">
        <f aca="false">VLOOKUP($A178,Infrastructure!$A$13:$E$74,2,0)&amp;""</f>
        <v>Are access controls for staff within your organization based on structured rules, such as RBAC, ABAC, or PBAC?</v>
      </c>
      <c r="C178" s="199" t="str">
        <f aca="false">VLOOKUP($A178,Infrastructure!$A$13:$E$74,3,0)&amp;""</f>
        <v/>
      </c>
      <c r="D178" s="68" t="str">
        <f aca="false">IF(LEFT(VLOOKUP($A178,Infrastructure!$A$13:$E$74,5,0),21)='Auto Responses'!$A$32,'Auto Responses'!$A$33,VLOOKUP($A178,Infrastructure!$A$13:$E$74,4,0))&amp;""</f>
        <v>This question does not apply.</v>
      </c>
      <c r="E178" s="206" t="str">
        <f aca="false">VLOOKUP($A178,Infrastructure!$A$13:$E$74,5,0)&amp;""</f>
        <v>Based on the response to REQU-01 on the "START HERE" tab, this question does not apply to this product or service. </v>
      </c>
      <c r="F178" s="212"/>
      <c r="G178" s="197" t="str">
        <f aca="false">VLOOKUP($A178,Questions!$A$2:$X$333,21,0)&amp;""</f>
        <v>Yes</v>
      </c>
      <c r="H178" s="198"/>
      <c r="I178" s="199" t="str">
        <f aca="false">VLOOKUP($A178,Questions!$A$2:$X$333,23,0)&amp;""</f>
        <v>Standard Importance</v>
      </c>
      <c r="J178" s="198"/>
      <c r="K178" s="200" t="b">
        <f aca="false">FALSE()</f>
        <v>0</v>
      </c>
      <c r="M178" s="176"/>
      <c r="N178" s="176"/>
    </row>
    <row r="179" s="176" customFormat="true" ht="17.9" hidden="false" customHeight="false" outlineLevel="0" collapsed="false">
      <c r="A179" s="35" t="str">
        <f aca="false">Infrastructure!$A$28</f>
        <v>APPL-09</v>
      </c>
      <c r="B179" s="36" t="str">
        <f aca="false">VLOOKUP($A179,Infrastructure!$A$13:$E$74,2,0)&amp;""</f>
        <v>Does the system provide data input validation and error messages?</v>
      </c>
      <c r="C179" s="199" t="str">
        <f aca="false">VLOOKUP($A179,Infrastructure!$A$13:$E$74,3,0)&amp;""</f>
        <v/>
      </c>
      <c r="D179" s="68" t="str">
        <f aca="false">IF(LEFT(VLOOKUP($A179,Infrastructure!$A$13:$E$74,5,0),21)='Auto Responses'!$A$32,'Auto Responses'!$A$33,VLOOKUP($A179,Infrastructure!$A$13:$E$74,4,0))&amp;""</f>
        <v>This question does not apply.</v>
      </c>
      <c r="E179" s="206" t="str">
        <f aca="false">VLOOKUP($A179,Infrastructure!$A$13:$E$74,5,0)&amp;""</f>
        <v>Based on the response to REQU-01 on the "START HERE" tab, this question does not apply to this product or service. </v>
      </c>
      <c r="F179" s="212"/>
      <c r="G179" s="197" t="str">
        <f aca="false">VLOOKUP($A179,Questions!$A$2:$X$333,21,0)&amp;""</f>
        <v>Yes</v>
      </c>
      <c r="H179" s="198"/>
      <c r="I179" s="199" t="str">
        <f aca="false">VLOOKUP($A179,Questions!$A$2:$X$333,23,0)&amp;""</f>
        <v>Standard Importance</v>
      </c>
      <c r="J179" s="198"/>
      <c r="K179" s="200" t="b">
        <f aca="false">FALSE()</f>
        <v>0</v>
      </c>
      <c r="L179" s="1"/>
    </row>
    <row r="180" s="176" customFormat="true" ht="50.7" hidden="false" customHeight="false" outlineLevel="0" collapsed="false">
      <c r="A180" s="35" t="str">
        <f aca="false">Infrastructure!$A$29</f>
        <v>APPL-10</v>
      </c>
      <c r="B180" s="36" t="str">
        <f aca="false">VLOOKUP($A180,Infrastructure!$A$13:$E$74,2,0)&amp;""</f>
        <v>Do you have a process and implemented procedures for managing your software supply chain (e.g., libraries, repositories, frameworks, etc.)</v>
      </c>
      <c r="C180" s="199" t="str">
        <f aca="false">VLOOKUP($A180,Infrastructure!$A$13:$E$74,3,0)&amp;""</f>
        <v/>
      </c>
      <c r="D180" s="68" t="str">
        <f aca="false">IF(LEFT(VLOOKUP($A180,Infrastructure!$A$13:$E$74,5,0),21)='Auto Responses'!$A$32,'Auto Responses'!$A$33,VLOOKUP($A180,Infrastructure!$A$13:$E$74,4,0))&amp;""</f>
        <v>This question does not apply.</v>
      </c>
      <c r="E180" s="206" t="str">
        <f aca="false">VLOOKUP($A180,Infrastructure!$A$13:$E$74,5,0)&amp;""</f>
        <v>Based on the response to REQU-01 on the "START HERE" tab, this question does not apply to this product or service. </v>
      </c>
      <c r="F180" s="212"/>
      <c r="G180" s="197" t="str">
        <f aca="false">VLOOKUP($A180,Questions!$A$2:$X$333,21,0)&amp;""</f>
        <v>Yes</v>
      </c>
      <c r="H180" s="198"/>
      <c r="I180" s="199" t="str">
        <f aca="false">VLOOKUP($A180,Questions!$A$2:$X$333,23,0)&amp;""</f>
        <v>Standard Importance</v>
      </c>
      <c r="J180" s="198"/>
      <c r="K180" s="200" t="b">
        <f aca="false">FALSE()</f>
        <v>0</v>
      </c>
      <c r="L180" s="1"/>
    </row>
    <row r="181" s="176" customFormat="true" ht="17.9" hidden="false" customHeight="false" outlineLevel="0" collapsed="false">
      <c r="A181" s="35" t="str">
        <f aca="false">Infrastructure!$A$30</f>
        <v>APPL-11</v>
      </c>
      <c r="B181" s="36" t="str">
        <f aca="false">VLOOKUP($A181,Infrastructure!$A$13:$E$74,2,0)&amp;""</f>
        <v>Have your developers been trained in secure coding techniques?</v>
      </c>
      <c r="C181" s="199" t="str">
        <f aca="false">VLOOKUP($A181,Infrastructure!$A$13:$E$74,3,0)&amp;""</f>
        <v/>
      </c>
      <c r="D181" s="68" t="str">
        <f aca="false">IF(LEFT(VLOOKUP($A181,Infrastructure!$A$13:$E$74,5,0),21)='Auto Responses'!$A$32,'Auto Responses'!$A$33,VLOOKUP($A181,Infrastructure!$A$13:$E$74,4,0))&amp;""</f>
        <v>This question does not apply.</v>
      </c>
      <c r="E181" s="206" t="str">
        <f aca="false">VLOOKUP($A181,Infrastructure!$A$13:$E$74,5,0)&amp;""</f>
        <v>Based on the response to REQU-01 on the "START HERE" tab, this question does not apply to this product or service. </v>
      </c>
      <c r="F181" s="212"/>
      <c r="G181" s="197" t="str">
        <f aca="false">VLOOKUP($A181,Questions!$A$2:$X$333,21,0)&amp;""</f>
        <v>Yes</v>
      </c>
      <c r="H181" s="198"/>
      <c r="I181" s="199" t="str">
        <f aca="false">VLOOKUP($A181,Questions!$A$2:$X$333,23,0)&amp;""</f>
        <v>Standard Importance</v>
      </c>
      <c r="J181" s="198"/>
      <c r="K181" s="200" t="b">
        <f aca="false">FALSE()</f>
        <v>0</v>
      </c>
      <c r="L181" s="1"/>
    </row>
    <row r="182" s="176" customFormat="true" ht="17.9" hidden="false" customHeight="false" outlineLevel="0" collapsed="false">
      <c r="A182" s="35" t="str">
        <f aca="false">Infrastructure!$A$31</f>
        <v>APPL-12</v>
      </c>
      <c r="B182" s="36" t="str">
        <f aca="false">VLOOKUP($A182,Infrastructure!$A$13:$E$74,2,0)&amp;""</f>
        <v>Was your application developed using secure coding techniques?</v>
      </c>
      <c r="C182" s="199" t="str">
        <f aca="false">VLOOKUP($A182,Infrastructure!$A$13:$E$74,3,0)&amp;""</f>
        <v/>
      </c>
      <c r="D182" s="68" t="str">
        <f aca="false">IF(LEFT(VLOOKUP($A182,Infrastructure!$A$13:$E$74,5,0),21)='Auto Responses'!$A$32,'Auto Responses'!$A$33,VLOOKUP($A182,Infrastructure!$A$13:$E$74,4,0))&amp;""</f>
        <v>This question does not apply.</v>
      </c>
      <c r="E182" s="206" t="str">
        <f aca="false">VLOOKUP($A182,Infrastructure!$A$13:$E$74,5,0)&amp;""</f>
        <v>Based on the response to REQU-01 on the "START HERE" tab, this question does not apply to this product or service. </v>
      </c>
      <c r="F182" s="212"/>
      <c r="G182" s="197" t="str">
        <f aca="false">VLOOKUP($A182,Questions!$A$2:$X$333,21,0)&amp;""</f>
        <v>Yes</v>
      </c>
      <c r="H182" s="198"/>
      <c r="I182" s="199" t="str">
        <f aca="false">VLOOKUP($A182,Questions!$A$2:$X$333,23,0)&amp;""</f>
        <v>Standard Importance</v>
      </c>
      <c r="J182" s="198"/>
      <c r="K182" s="200" t="b">
        <f aca="false">FALSE()</f>
        <v>0</v>
      </c>
      <c r="L182" s="1"/>
    </row>
    <row r="183" s="176" customFormat="true" ht="50.7" hidden="false" customHeight="false" outlineLevel="0" collapsed="false">
      <c r="A183" s="35" t="str">
        <f aca="false">Infrastructure!$A$32</f>
        <v>APPL-13</v>
      </c>
      <c r="B183" s="36" t="str">
        <f aca="false">VLOOKUP($A183,Infrastructure!$A$13:$E$74,2,0)&amp;""</f>
        <v>If mobile, is the application available from a trusted source (e.g., App Store, Google Play Store)?</v>
      </c>
      <c r="C183" s="199" t="str">
        <f aca="false">VLOOKUP($A183,Infrastructure!$A$13:$E$74,3,0)&amp;""</f>
        <v/>
      </c>
      <c r="D183" s="68" t="str">
        <f aca="false">IF(LEFT(VLOOKUP($A183,Infrastructure!$A$13:$E$74,5,0),21)='Auto Responses'!$A$32,'Auto Responses'!$A$33,VLOOKUP($A183,Infrastructure!$A$13:$E$74,4,0))&amp;""</f>
        <v>This question does not apply.</v>
      </c>
      <c r="E183" s="206" t="str">
        <f aca="false">VLOOKUP($A183,Infrastructure!$A$13:$E$74,5,0)&amp;""</f>
        <v>Based on the response to REQU-01 on the "START HERE" tab, this question does not apply to this product or service. </v>
      </c>
      <c r="F183" s="212"/>
      <c r="G183" s="197" t="str">
        <f aca="false">VLOOKUP($A183,Questions!$A$2:$X$333,21,0)&amp;""</f>
        <v>Yes</v>
      </c>
      <c r="H183" s="198"/>
      <c r="I183" s="199" t="str">
        <f aca="false">VLOOKUP($A183,Questions!$A$2:$X$333,23,0)&amp;""</f>
        <v>Minor Importance</v>
      </c>
      <c r="J183" s="198"/>
      <c r="K183" s="200" t="b">
        <f aca="false">FALSE()</f>
        <v>0</v>
      </c>
      <c r="L183" s="1"/>
    </row>
    <row r="184" s="176" customFormat="true" ht="46.25" hidden="false" customHeight="false" outlineLevel="0" collapsed="false">
      <c r="A184" s="35" t="str">
        <f aca="false">Infrastructure!$A$33</f>
        <v>APPL-14</v>
      </c>
      <c r="B184" s="36" t="str">
        <f aca="false">VLOOKUP($A184,Infrastructure!$A$13:$E$74,2,0)&amp;""</f>
        <v>Do you have a fully implemented policy or procedure that details how your employees obtain administrator access to institutional instance of the application?</v>
      </c>
      <c r="C184" s="199" t="str">
        <f aca="false">VLOOKUP($A184,Infrastructure!$A$13:$E$74,3,0)&amp;""</f>
        <v/>
      </c>
      <c r="D184" s="68" t="str">
        <f aca="false">IF(LEFT(VLOOKUP($A184,Infrastructure!$A$13:$E$74,5,0),21)='Auto Responses'!$A$32,'Auto Responses'!$A$33,VLOOKUP($A184,Infrastructure!$A$13:$E$74,4,0))&amp;""</f>
        <v>This question does not apply.</v>
      </c>
      <c r="E184" s="206" t="str">
        <f aca="false">VLOOKUP($A184,Infrastructure!$A$13:$E$74,5,0)&amp;""</f>
        <v>Based on the response to REQU-01 on the "START HERE" tab, this question does not apply to this product or service. </v>
      </c>
      <c r="F184" s="212"/>
      <c r="G184" s="197" t="str">
        <f aca="false">VLOOKUP($A184,Questions!$A$2:$X$333,21,0)&amp;""</f>
        <v>Yes</v>
      </c>
      <c r="H184" s="198"/>
      <c r="I184" s="199" t="str">
        <f aca="false">VLOOKUP($A184,Questions!$A$2:$X$333,23,0)&amp;""</f>
        <v>Minor Importance</v>
      </c>
      <c r="J184" s="198"/>
      <c r="K184" s="200" t="b">
        <f aca="false">FALSE()</f>
        <v>0</v>
      </c>
      <c r="L184" s="1"/>
    </row>
    <row r="185" s="176" customFormat="true" ht="17.9" hidden="false" customHeight="false" outlineLevel="0" collapsed="false">
      <c r="A185" s="31" t="str">
        <f aca="false">VLOOKUP(LEFT($A186,4),'Auto Responses'!$N$4:$O$38,2,0)&amp;""</f>
        <v> Datacenter</v>
      </c>
      <c r="B185" s="42"/>
      <c r="C185" s="43"/>
      <c r="D185" s="43"/>
      <c r="E185" s="204"/>
      <c r="F185" s="192" t="s">
        <v>454</v>
      </c>
      <c r="G185" s="201" t="s">
        <v>449</v>
      </c>
      <c r="H185" s="201" t="s">
        <v>450</v>
      </c>
      <c r="I185" s="201" t="s">
        <v>451</v>
      </c>
      <c r="J185" s="201" t="s">
        <v>452</v>
      </c>
      <c r="K185" s="43"/>
      <c r="L185" s="1"/>
      <c r="M185" s="1"/>
      <c r="N185" s="1"/>
    </row>
    <row r="186" s="176" customFormat="true" ht="149.25" hidden="false" customHeight="false" outlineLevel="0" collapsed="false">
      <c r="A186" s="35" t="str">
        <f aca="false">Infrastructure!$A$35</f>
        <v>DCTR-01</v>
      </c>
      <c r="B186" s="36" t="str">
        <f aca="false">VLOOKUP($A186,Infrastructure!$A$13:$E$74,2,0)&amp;""</f>
        <v>Select your hosting option.</v>
      </c>
      <c r="C186" s="199" t="str">
        <f aca="false">VLOOKUP($A186,Infrastructure!$A$13:$E$74,3,0)&amp;""</f>
        <v/>
      </c>
      <c r="D186" s="68" t="str">
        <f aca="false">IF(LEFT(VLOOKUP($A186,Infrastructure!$A$13:$E$74,5,0),21)='Auto Responses'!$A$32,'Auto Responses'!$A$33,VLOOKUP($A186,Infrastructure!$A$13:$E$74,4,0))&amp;""</f>
        <v/>
      </c>
      <c r="E186" s="206" t="str">
        <f aca="false">VLOOKUP($A186,Infrastructure!$A$13:$E$74,5,0)&amp;""</f>
        <v>If you are using an option not listed, or a combination of options, select "Other." Your selection here will determine which questions below are required.</v>
      </c>
      <c r="F186" s="212"/>
      <c r="G186" s="197" t="str">
        <f aca="false">VLOOKUP($A186,Questions!$A$2:$X$333,21,0)&amp;""</f>
        <v>Not scored</v>
      </c>
      <c r="H186" s="198"/>
      <c r="I186" s="199" t="str">
        <f aca="false">VLOOKUP($A186,Questions!$A$2:$X$333,23,0)&amp;""</f>
        <v/>
      </c>
      <c r="J186" s="198"/>
      <c r="K186" s="200" t="b">
        <f aca="false">FALSE()</f>
        <v>0</v>
      </c>
      <c r="L186" s="1"/>
    </row>
    <row r="187" s="176" customFormat="true" ht="17.9" hidden="false" customHeight="false" outlineLevel="0" collapsed="false">
      <c r="A187" s="35" t="str">
        <f aca="false">Infrastructure!$A$36</f>
        <v>DCTR-02</v>
      </c>
      <c r="B187" s="36" t="str">
        <f aca="false">VLOOKUP($A187,Infrastructure!$A$13:$E$74,2,0)&amp;""</f>
        <v>Is a SOC 2 Type 2 report available for the hosting environment?</v>
      </c>
      <c r="C187" s="199" t="str">
        <f aca="false">VLOOKUP($A187,Infrastructure!$A$13:$E$74,3,0)&amp;""</f>
        <v/>
      </c>
      <c r="D187" s="68" t="str">
        <f aca="false">IF(LEFT(VLOOKUP($A187,Infrastructure!$A$13:$E$74,5,0),21)='Auto Responses'!$A$32,'Auto Responses'!$A$33,VLOOKUP($A187,Infrastructure!$A$13:$E$74,4,0))&amp;""</f>
        <v/>
      </c>
      <c r="E187" s="206" t="str">
        <f aca="false">VLOOKUP($A187,Infrastructure!$A$13:$E$74,5,0)&amp;""</f>
        <v/>
      </c>
      <c r="F187" s="212"/>
      <c r="G187" s="197" t="str">
        <f aca="false">VLOOKUP($A187,Questions!$A$2:$X$333,21,0)&amp;""</f>
        <v>Yes</v>
      </c>
      <c r="H187" s="198"/>
      <c r="I187" s="199" t="str">
        <f aca="false">VLOOKUP($A187,Questions!$A$2:$X$333,23,0)&amp;""</f>
        <v>Standard Importance</v>
      </c>
      <c r="J187" s="198"/>
      <c r="K187" s="200" t="b">
        <f aca="false">FALSE()</f>
        <v>0</v>
      </c>
      <c r="L187" s="1"/>
    </row>
    <row r="188" s="176" customFormat="true" ht="31.3" hidden="false" customHeight="false" outlineLevel="0" collapsed="false">
      <c r="A188" s="35" t="str">
        <f aca="false">Infrastructure!$A$37</f>
        <v>DCTR-03</v>
      </c>
      <c r="B188" s="36" t="str">
        <f aca="false">VLOOKUP($A188,Infrastructure!$A$13:$E$74,2,0)&amp;""</f>
        <v>Are you generally able to accommodate storing each institution's data within its geographic region?</v>
      </c>
      <c r="C188" s="199" t="str">
        <f aca="false">VLOOKUP($A188,Infrastructure!$A$13:$E$74,3,0)&amp;""</f>
        <v/>
      </c>
      <c r="D188" s="68" t="str">
        <f aca="false">IF(LEFT(VLOOKUP($A188,Infrastructure!$A$13:$E$74,5,0),21)='Auto Responses'!$A$32,'Auto Responses'!$A$33,VLOOKUP($A188,Infrastructure!$A$13:$E$74,4,0))&amp;""</f>
        <v/>
      </c>
      <c r="E188" s="206" t="str">
        <f aca="false">VLOOKUP($A188,Infrastructure!$A$13:$E$74,5,0)&amp;""</f>
        <v/>
      </c>
      <c r="F188" s="212"/>
      <c r="G188" s="197" t="str">
        <f aca="false">VLOOKUP($A188,Questions!$A$2:$X$333,21,0)&amp;""</f>
        <v>Yes</v>
      </c>
      <c r="H188" s="198"/>
      <c r="I188" s="199" t="str">
        <f aca="false">VLOOKUP($A188,Questions!$A$2:$X$333,23,0)&amp;""</f>
        <v>Standard Importance</v>
      </c>
      <c r="J188" s="198"/>
      <c r="K188" s="200" t="b">
        <f aca="false">FALSE()</f>
        <v>0</v>
      </c>
      <c r="L188" s="1"/>
    </row>
    <row r="189" s="176" customFormat="true" ht="31.3" hidden="false" customHeight="false" outlineLevel="0" collapsed="false">
      <c r="A189" s="35" t="str">
        <f aca="false">Infrastructure!$A$38</f>
        <v>DCTR-04</v>
      </c>
      <c r="B189" s="36" t="str">
        <f aca="false">VLOOKUP($A189,Infrastructure!$A$13:$E$74,2,0)&amp;""</f>
        <v>Are the data centers staffed 24 hours a day, seven days a week (i.e., 24 x 7 x 365)?</v>
      </c>
      <c r="C189" s="199" t="str">
        <f aca="false">VLOOKUP($A189,Infrastructure!$A$13:$E$74,3,0)&amp;""</f>
        <v/>
      </c>
      <c r="D189" s="68" t="str">
        <f aca="false">IF(LEFT(VLOOKUP($A189,Infrastructure!$A$13:$E$74,5,0),21)='Auto Responses'!$A$32,'Auto Responses'!$A$33,VLOOKUP($A189,Infrastructure!$A$13:$E$74,4,0))&amp;""</f>
        <v/>
      </c>
      <c r="E189" s="206" t="str">
        <f aca="false">VLOOKUP($A189,Infrastructure!$A$13:$E$74,5,0)&amp;""</f>
        <v/>
      </c>
      <c r="F189" s="212"/>
      <c r="G189" s="197" t="str">
        <f aca="false">VLOOKUP($A189,Questions!$A$2:$X$333,21,0)&amp;""</f>
        <v>Yes</v>
      </c>
      <c r="H189" s="198"/>
      <c r="I189" s="199" t="str">
        <f aca="false">VLOOKUP($A189,Questions!$A$2:$X$333,23,0)&amp;""</f>
        <v>Standard Importance</v>
      </c>
      <c r="J189" s="198"/>
      <c r="K189" s="200" t="b">
        <f aca="false">FALSE()</f>
        <v>0</v>
      </c>
      <c r="L189" s="1"/>
    </row>
    <row r="190" s="176" customFormat="true" ht="31.3" hidden="false" customHeight="false" outlineLevel="0" collapsed="false">
      <c r="A190" s="35" t="str">
        <f aca="false">Infrastructure!$A$39</f>
        <v>DCTR-05</v>
      </c>
      <c r="B190" s="36" t="str">
        <f aca="false">VLOOKUP($A190,Infrastructure!$A$13:$E$74,2,0)&amp;""</f>
        <v>Are your servers separated from other companies via a physical barrier, such as a cage or hard walls?</v>
      </c>
      <c r="C190" s="199" t="str">
        <f aca="false">VLOOKUP($A190,Infrastructure!$A$13:$E$74,3,0)&amp;""</f>
        <v/>
      </c>
      <c r="D190" s="68" t="str">
        <f aca="false">IF(LEFT(VLOOKUP($A190,Infrastructure!$A$13:$E$74,5,0),21)='Auto Responses'!$A$32,'Auto Responses'!$A$33,VLOOKUP($A190,Infrastructure!$A$13:$E$74,4,0))&amp;""</f>
        <v/>
      </c>
      <c r="E190" s="206" t="str">
        <f aca="false">VLOOKUP($A190,Infrastructure!$A$13:$E$74,5,0)&amp;""</f>
        <v/>
      </c>
      <c r="F190" s="212"/>
      <c r="G190" s="197" t="str">
        <f aca="false">VLOOKUP($A190,Questions!$A$2:$X$333,21,0)&amp;""</f>
        <v>Yes</v>
      </c>
      <c r="H190" s="198"/>
      <c r="I190" s="199" t="str">
        <f aca="false">VLOOKUP($A190,Questions!$A$2:$X$333,23,0)&amp;""</f>
        <v>Standard Importance</v>
      </c>
      <c r="J190" s="198"/>
      <c r="K190" s="200" t="b">
        <f aca="false">FALSE()</f>
        <v>0</v>
      </c>
      <c r="L190" s="1"/>
    </row>
    <row r="191" s="176" customFormat="true" ht="31.3" hidden="false" customHeight="false" outlineLevel="0" collapsed="false">
      <c r="A191" s="35" t="str">
        <f aca="false">Infrastructure!$A$40</f>
        <v>DCTR-06</v>
      </c>
      <c r="B191" s="36" t="str">
        <f aca="false">VLOOKUP($A191,Infrastructure!$A$13:$E$74,2,0)&amp;""</f>
        <v>Does a physical barrier fully enclose the physical space, preventing unauthorized physical contact with any of your devices?*</v>
      </c>
      <c r="C191" s="199" t="str">
        <f aca="false">VLOOKUP($A191,Infrastructure!$A$13:$E$74,3,0)&amp;""</f>
        <v/>
      </c>
      <c r="D191" s="68" t="str">
        <f aca="false">IF(LEFT(VLOOKUP($A191,Infrastructure!$A$13:$E$74,5,0),21)='Auto Responses'!$A$32,'Auto Responses'!$A$33,VLOOKUP($A191,Infrastructure!$A$13:$E$74,4,0))&amp;""</f>
        <v/>
      </c>
      <c r="E191" s="206" t="str">
        <f aca="false">VLOOKUP($A191,Infrastructure!$A$13:$E$74,5,0)&amp;""</f>
        <v/>
      </c>
      <c r="F191" s="212"/>
      <c r="G191" s="197" t="str">
        <f aca="false">VLOOKUP($A191,Questions!$A$2:$X$333,21,0)&amp;""</f>
        <v>Yes</v>
      </c>
      <c r="H191" s="198"/>
      <c r="I191" s="199" t="str">
        <f aca="false">VLOOKUP($A191,Questions!$A$2:$X$333,23,0)&amp;""</f>
        <v>Critical Importance</v>
      </c>
      <c r="J191" s="198"/>
      <c r="K191" s="200" t="b">
        <f aca="false">FALSE()</f>
        <v>0</v>
      </c>
      <c r="L191" s="1"/>
    </row>
    <row r="192" s="176" customFormat="true" ht="17.9" hidden="false" customHeight="false" outlineLevel="0" collapsed="false">
      <c r="A192" s="35" t="str">
        <f aca="false">Infrastructure!$A$41</f>
        <v>DCTR-07</v>
      </c>
      <c r="B192" s="36" t="str">
        <f aca="false">VLOOKUP($A192,Infrastructure!$A$13:$E$74,2,0)&amp;""</f>
        <v>Are your primary and secondary data centers geographically diverse?</v>
      </c>
      <c r="C192" s="199" t="str">
        <f aca="false">VLOOKUP($A192,Infrastructure!$A$13:$E$74,3,0)&amp;""</f>
        <v/>
      </c>
      <c r="D192" s="68" t="str">
        <f aca="false">IF(LEFT(VLOOKUP($A192,Infrastructure!$A$13:$E$74,5,0),21)='Auto Responses'!$A$32,'Auto Responses'!$A$33,VLOOKUP($A192,Infrastructure!$A$13:$E$74,4,0))&amp;""</f>
        <v/>
      </c>
      <c r="E192" s="206" t="str">
        <f aca="false">VLOOKUP($A192,Infrastructure!$A$13:$E$74,5,0)&amp;""</f>
        <v/>
      </c>
      <c r="F192" s="212"/>
      <c r="G192" s="197" t="str">
        <f aca="false">VLOOKUP($A192,Questions!$A$2:$X$333,21,0)&amp;""</f>
        <v>Yes</v>
      </c>
      <c r="H192" s="198"/>
      <c r="I192" s="199" t="str">
        <f aca="false">VLOOKUP($A192,Questions!$A$2:$X$333,23,0)&amp;""</f>
        <v>Standard Importance</v>
      </c>
      <c r="J192" s="198"/>
      <c r="K192" s="200" t="b">
        <f aca="false">FALSE()</f>
        <v>0</v>
      </c>
      <c r="L192" s="1"/>
    </row>
    <row r="193" s="176" customFormat="true" ht="17.9" hidden="false" customHeight="false" outlineLevel="0" collapsed="false">
      <c r="A193" s="35" t="str">
        <f aca="false">Infrastructure!$A$42</f>
        <v>DCTR-08</v>
      </c>
      <c r="B193" s="36" t="str">
        <f aca="false">VLOOKUP($A193,Infrastructure!$A$13:$E$74,2,0)&amp;""</f>
        <v>Is the service hosted in a high-availability environment?</v>
      </c>
      <c r="C193" s="199" t="str">
        <f aca="false">VLOOKUP($A193,Infrastructure!$A$13:$E$74,3,0)&amp;""</f>
        <v/>
      </c>
      <c r="D193" s="68" t="str">
        <f aca="false">IF(LEFT(VLOOKUP($A193,Infrastructure!$A$13:$E$74,5,0),21)='Auto Responses'!$A$32,'Auto Responses'!$A$33,VLOOKUP($A193,Infrastructure!$A$13:$E$74,4,0))&amp;""</f>
        <v/>
      </c>
      <c r="E193" s="206" t="str">
        <f aca="false">VLOOKUP($A193,Infrastructure!$A$13:$E$74,5,0)&amp;""</f>
        <v/>
      </c>
      <c r="F193" s="212"/>
      <c r="G193" s="197" t="str">
        <f aca="false">VLOOKUP($A193,Questions!$A$2:$X$333,21,0)&amp;""</f>
        <v>Yes</v>
      </c>
      <c r="H193" s="198"/>
      <c r="I193" s="199" t="str">
        <f aca="false">VLOOKUP($A193,Questions!$A$2:$X$333,23,0)&amp;""</f>
        <v>Standard Importance</v>
      </c>
      <c r="J193" s="198"/>
      <c r="K193" s="200" t="b">
        <f aca="false">FALSE()</f>
        <v>0</v>
      </c>
      <c r="L193" s="1"/>
    </row>
    <row r="194" s="176" customFormat="true" ht="31.3" hidden="false" customHeight="false" outlineLevel="0" collapsed="false">
      <c r="A194" s="35" t="str">
        <f aca="false">Infrastructure!$A$43</f>
        <v>DCTR-09</v>
      </c>
      <c r="B194" s="36" t="str">
        <f aca="false">VLOOKUP($A194,Infrastructure!$A$13:$E$74,2,0)&amp;""</f>
        <v>Is redundant power available for all data centers where institutional data will reside?</v>
      </c>
      <c r="C194" s="199" t="str">
        <f aca="false">VLOOKUP($A194,Infrastructure!$A$13:$E$74,3,0)&amp;""</f>
        <v/>
      </c>
      <c r="D194" s="68" t="str">
        <f aca="false">IF(LEFT(VLOOKUP($A194,Infrastructure!$A$13:$E$74,5,0),21)='Auto Responses'!$A$32,'Auto Responses'!$A$33,VLOOKUP($A194,Infrastructure!$A$13:$E$74,4,0))&amp;""</f>
        <v/>
      </c>
      <c r="E194" s="206" t="str">
        <f aca="false">VLOOKUP($A194,Infrastructure!$A$13:$E$74,5,0)&amp;""</f>
        <v/>
      </c>
      <c r="F194" s="212"/>
      <c r="G194" s="197" t="str">
        <f aca="false">VLOOKUP($A194,Questions!$A$2:$X$333,21,0)&amp;""</f>
        <v>Yes</v>
      </c>
      <c r="H194" s="198"/>
      <c r="I194" s="199" t="str">
        <f aca="false">VLOOKUP($A194,Questions!$A$2:$X$333,23,0)&amp;""</f>
        <v>Standard Importance</v>
      </c>
      <c r="J194" s="198"/>
      <c r="K194" s="200" t="b">
        <f aca="false">FALSE()</f>
        <v>0</v>
      </c>
      <c r="L194" s="1"/>
    </row>
    <row r="195" s="1" customFormat="true" ht="17.9" hidden="false" customHeight="false" outlineLevel="0" collapsed="false">
      <c r="A195" s="35" t="str">
        <f aca="false">Infrastructure!$A$44</f>
        <v>DCTR-10</v>
      </c>
      <c r="B195" s="36" t="str">
        <f aca="false">VLOOKUP($A195,Infrastructure!$A$13:$E$74,2,0)&amp;""</f>
        <v>Are redundant power strategies tested?*</v>
      </c>
      <c r="C195" s="199" t="str">
        <f aca="false">VLOOKUP($A195,Infrastructure!$A$13:$E$74,3,0)&amp;""</f>
        <v/>
      </c>
      <c r="D195" s="68" t="str">
        <f aca="false">IF(LEFT(VLOOKUP($A195,Infrastructure!$A$13:$E$74,5,0),21)='Auto Responses'!$A$32,'Auto Responses'!$A$33,VLOOKUP($A195,Infrastructure!$A$13:$E$74,4,0))&amp;""</f>
        <v/>
      </c>
      <c r="E195" s="206" t="str">
        <f aca="false">VLOOKUP($A195,Infrastructure!$A$13:$E$74,5,0)&amp;""</f>
        <v/>
      </c>
      <c r="F195" s="212"/>
      <c r="G195" s="197" t="str">
        <f aca="false">VLOOKUP($A195,Questions!$A$2:$X$333,21,0)&amp;""</f>
        <v>Yes</v>
      </c>
      <c r="H195" s="198"/>
      <c r="I195" s="199" t="str">
        <f aca="false">VLOOKUP($A195,Questions!$A$2:$X$333,23,0)&amp;""</f>
        <v>Critical Importance</v>
      </c>
      <c r="J195" s="198"/>
      <c r="K195" s="200" t="b">
        <f aca="false">FALSE()</f>
        <v>0</v>
      </c>
      <c r="M195" s="176"/>
      <c r="N195" s="176"/>
    </row>
    <row r="196" s="176" customFormat="true" ht="31.3" hidden="false" customHeight="false" outlineLevel="0" collapsed="false">
      <c r="A196" s="35" t="str">
        <f aca="false">Infrastructure!$A$45</f>
        <v>DCTR-11</v>
      </c>
      <c r="B196" s="36" t="str">
        <f aca="false">VLOOKUP($A196,Infrastructure!$A$13:$E$74,2,0)&amp;""</f>
        <v>Does the center where the data will reside have cooling and fire-suppression systems that are active and regularly tested?</v>
      </c>
      <c r="C196" s="199" t="str">
        <f aca="false">VLOOKUP($A196,Infrastructure!$A$13:$E$74,3,0)&amp;""</f>
        <v/>
      </c>
      <c r="D196" s="68" t="str">
        <f aca="false">IF(LEFT(VLOOKUP($A196,Infrastructure!$A$13:$E$74,5,0),21)='Auto Responses'!$A$32,'Auto Responses'!$A$33,VLOOKUP($A196,Infrastructure!$A$13:$E$74,4,0))&amp;""</f>
        <v/>
      </c>
      <c r="E196" s="206" t="str">
        <f aca="false">VLOOKUP($A196,Infrastructure!$A$13:$E$74,5,0)&amp;""</f>
        <v/>
      </c>
      <c r="F196" s="212"/>
      <c r="G196" s="197" t="str">
        <f aca="false">VLOOKUP($A196,Questions!$A$2:$X$333,21,0)&amp;""</f>
        <v>Yes</v>
      </c>
      <c r="H196" s="198"/>
      <c r="I196" s="199" t="str">
        <f aca="false">VLOOKUP($A196,Questions!$A$2:$X$333,23,0)&amp;""</f>
        <v>Standard Importance</v>
      </c>
      <c r="J196" s="198"/>
      <c r="K196" s="200" t="b">
        <f aca="false">FALSE()</f>
        <v>0</v>
      </c>
      <c r="L196" s="1"/>
    </row>
    <row r="197" s="176" customFormat="true" ht="17.9" hidden="false" customHeight="false" outlineLevel="0" collapsed="false">
      <c r="A197" s="35" t="str">
        <f aca="false">Infrastructure!$A$46</f>
        <v>DCTR-12</v>
      </c>
      <c r="B197" s="36" t="str">
        <f aca="false">VLOOKUP($A197,Infrastructure!$A$13:$E$74,2,0)&amp;""</f>
        <v>Do you have Internet Service Provider (ISP) redundancy?</v>
      </c>
      <c r="C197" s="199" t="str">
        <f aca="false">VLOOKUP($A197,Infrastructure!$A$13:$E$74,3,0)&amp;""</f>
        <v/>
      </c>
      <c r="D197" s="68" t="str">
        <f aca="false">IF(LEFT(VLOOKUP($A197,Infrastructure!$A$13:$E$74,5,0),21)='Auto Responses'!$A$32,'Auto Responses'!$A$33,VLOOKUP($A197,Infrastructure!$A$13:$E$74,4,0))&amp;""</f>
        <v/>
      </c>
      <c r="E197" s="206" t="str">
        <f aca="false">VLOOKUP($A197,Infrastructure!$A$13:$E$74,5,0)&amp;""</f>
        <v/>
      </c>
      <c r="F197" s="212"/>
      <c r="G197" s="197" t="str">
        <f aca="false">VLOOKUP($A197,Questions!$A$2:$X$333,21,0)&amp;""</f>
        <v>Yes</v>
      </c>
      <c r="H197" s="198"/>
      <c r="I197" s="199" t="str">
        <f aca="false">VLOOKUP($A197,Questions!$A$2:$X$333,23,0)&amp;""</f>
        <v>Standard Importance</v>
      </c>
      <c r="J197" s="198"/>
      <c r="K197" s="200" t="b">
        <f aca="false">FALSE()</f>
        <v>0</v>
      </c>
      <c r="L197" s="1"/>
    </row>
    <row r="198" s="176" customFormat="true" ht="46.25" hidden="false" customHeight="false" outlineLevel="0" collapsed="false">
      <c r="A198" s="35" t="str">
        <f aca="false">Infrastructure!$A$47</f>
        <v>DCTR-13</v>
      </c>
      <c r="B198" s="36" t="str">
        <f aca="false">VLOOKUP($A198,Infrastructure!$A$13:$E$74,2,0)&amp;""</f>
        <v>Does every data center where the institution's data will reside have multiple telephone company or network provider entrances to the facility?</v>
      </c>
      <c r="C198" s="199" t="str">
        <f aca="false">VLOOKUP($A198,Infrastructure!$A$13:$E$74,3,0)&amp;""</f>
        <v/>
      </c>
      <c r="D198" s="68" t="str">
        <f aca="false">IF(LEFT(VLOOKUP($A198,Infrastructure!$A$13:$E$74,5,0),21)='Auto Responses'!$A$32,'Auto Responses'!$A$33,VLOOKUP($A198,Infrastructure!$A$13:$E$74,4,0))&amp;""</f>
        <v/>
      </c>
      <c r="E198" s="206" t="str">
        <f aca="false">VLOOKUP($A198,Infrastructure!$A$13:$E$74,5,0)&amp;""</f>
        <v/>
      </c>
      <c r="F198" s="212"/>
      <c r="G198" s="197" t="str">
        <f aca="false">VLOOKUP($A198,Questions!$A$2:$X$333,21,0)&amp;""</f>
        <v>Yes</v>
      </c>
      <c r="H198" s="198"/>
      <c r="I198" s="199" t="str">
        <f aca="false">VLOOKUP($A198,Questions!$A$2:$X$333,23,0)&amp;""</f>
        <v>Standard Importance</v>
      </c>
      <c r="J198" s="198"/>
      <c r="K198" s="200" t="b">
        <f aca="false">FALSE()</f>
        <v>0</v>
      </c>
      <c r="L198" s="1"/>
    </row>
    <row r="199" s="176" customFormat="true" ht="31.3" hidden="false" customHeight="false" outlineLevel="0" collapsed="false">
      <c r="A199" s="35" t="str">
        <f aca="false">Infrastructure!$A$48</f>
        <v>DCTR-14</v>
      </c>
      <c r="B199" s="36" t="str">
        <f aca="false">VLOOKUP($A199,Infrastructure!$A$13:$E$74,2,0)&amp;""</f>
        <v>Do you require multifactor authentication for all administrative accounts in your environment?</v>
      </c>
      <c r="C199" s="199" t="str">
        <f aca="false">VLOOKUP($A199,Infrastructure!$A$13:$E$74,3,0)&amp;""</f>
        <v/>
      </c>
      <c r="D199" s="68" t="str">
        <f aca="false">IF(LEFT(VLOOKUP($A199,Infrastructure!$A$13:$E$74,5,0),21)='Auto Responses'!$A$32,'Auto Responses'!$A$33,VLOOKUP($A199,Infrastructure!$A$13:$E$74,4,0))&amp;""</f>
        <v/>
      </c>
      <c r="E199" s="206" t="str">
        <f aca="false">VLOOKUP($A199,Infrastructure!$A$13:$E$74,5,0)&amp;""</f>
        <v/>
      </c>
      <c r="F199" s="212"/>
      <c r="G199" s="197" t="str">
        <f aca="false">VLOOKUP($A199,Questions!$A$2:$X$333,21,0)&amp;""</f>
        <v>Yes</v>
      </c>
      <c r="H199" s="198"/>
      <c r="I199" s="199" t="str">
        <f aca="false">VLOOKUP($A199,Questions!$A$2:$X$333,23,0)&amp;""</f>
        <v>Standard Importance</v>
      </c>
      <c r="J199" s="198"/>
      <c r="K199" s="200" t="b">
        <f aca="false">FALSE()</f>
        <v>0</v>
      </c>
      <c r="L199" s="1"/>
    </row>
    <row r="200" s="176" customFormat="true" ht="31.3" hidden="false" customHeight="false" outlineLevel="0" collapsed="false">
      <c r="A200" s="35" t="str">
        <f aca="false">Infrastructure!$A$49</f>
        <v>DCTR-15</v>
      </c>
      <c r="B200" s="36" t="str">
        <f aca="false">VLOOKUP($A200,Infrastructure!$A$13:$E$74,2,0)&amp;""</f>
        <v>Are you using your cloud provider's available hardening tools or pre-hardened images?</v>
      </c>
      <c r="C200" s="199" t="str">
        <f aca="false">VLOOKUP($A200,Infrastructure!$A$13:$E$74,3,0)&amp;""</f>
        <v/>
      </c>
      <c r="D200" s="68" t="str">
        <f aca="false">IF(LEFT(VLOOKUP($A200,Infrastructure!$A$13:$E$74,5,0),21)='Auto Responses'!$A$32,'Auto Responses'!$A$33,VLOOKUP($A200,Infrastructure!$A$13:$E$74,4,0))&amp;""</f>
        <v/>
      </c>
      <c r="E200" s="206" t="str">
        <f aca="false">VLOOKUP($A200,Infrastructure!$A$13:$E$74,5,0)&amp;""</f>
        <v/>
      </c>
      <c r="F200" s="212"/>
      <c r="G200" s="197" t="str">
        <f aca="false">VLOOKUP($A200,Questions!$A$2:$X$333,21,0)&amp;""</f>
        <v>Yes</v>
      </c>
      <c r="H200" s="198"/>
      <c r="I200" s="199" t="str">
        <f aca="false">VLOOKUP($A200,Questions!$A$2:$X$333,23,0)&amp;""</f>
        <v>Standard Importance</v>
      </c>
      <c r="J200" s="198"/>
      <c r="K200" s="200" t="b">
        <f aca="false">FALSE()</f>
        <v>0</v>
      </c>
      <c r="L200" s="1"/>
    </row>
    <row r="201" s="176" customFormat="true" ht="17.9" hidden="false" customHeight="false" outlineLevel="0" collapsed="false">
      <c r="A201" s="35" t="str">
        <f aca="false">Infrastructure!$A$50</f>
        <v>DCTR-16</v>
      </c>
      <c r="B201" s="36" t="str">
        <f aca="false">VLOOKUP($A201,Infrastructure!$A$13:$E$74,2,0)&amp;""</f>
        <v>Does your cloud solution provider have access to your encryption keys?</v>
      </c>
      <c r="C201" s="199" t="str">
        <f aca="false">VLOOKUP($A201,Infrastructure!$A$13:$E$74,3,0)&amp;""</f>
        <v/>
      </c>
      <c r="D201" s="68" t="str">
        <f aca="false">IF(LEFT(VLOOKUP($A201,Infrastructure!$A$13:$E$74,5,0),21)='Auto Responses'!$A$32,'Auto Responses'!$A$33,VLOOKUP($A201,Infrastructure!$A$13:$E$74,4,0))&amp;""</f>
        <v/>
      </c>
      <c r="E201" s="206" t="str">
        <f aca="false">VLOOKUP($A201,Infrastructure!$A$13:$E$74,5,0)&amp;""</f>
        <v/>
      </c>
      <c r="F201" s="212"/>
      <c r="G201" s="197" t="str">
        <f aca="false">VLOOKUP($A201,Questions!$A$2:$X$333,21,0)&amp;""</f>
        <v>No</v>
      </c>
      <c r="H201" s="198"/>
      <c r="I201" s="199" t="str">
        <f aca="false">VLOOKUP($A201,Questions!$A$2:$X$333,23,0)&amp;""</f>
        <v>Standard Importance</v>
      </c>
      <c r="J201" s="198"/>
      <c r="K201" s="200" t="b">
        <f aca="false">FALSE()</f>
        <v>0</v>
      </c>
      <c r="L201" s="1"/>
    </row>
    <row r="202" s="176" customFormat="true" ht="17.9" hidden="false" customHeight="false" outlineLevel="0" collapsed="false">
      <c r="A202" s="31" t="str">
        <f aca="false">VLOOKUP(LEFT($A203,4),'Auto Responses'!$N$4:$O$38,2,0)&amp;""</f>
        <v> Firewalls, IDS, IPS, and Networking</v>
      </c>
      <c r="B202" s="42"/>
      <c r="C202" s="43"/>
      <c r="D202" s="43"/>
      <c r="E202" s="204"/>
      <c r="F202" s="192" t="s">
        <v>454</v>
      </c>
      <c r="G202" s="201" t="s">
        <v>449</v>
      </c>
      <c r="H202" s="201" t="s">
        <v>450</v>
      </c>
      <c r="I202" s="201" t="s">
        <v>451</v>
      </c>
      <c r="J202" s="201" t="s">
        <v>452</v>
      </c>
      <c r="K202" s="43"/>
      <c r="L202" s="1"/>
      <c r="M202" s="1"/>
      <c r="N202" s="1"/>
    </row>
    <row r="203" s="176" customFormat="true" ht="17.9" hidden="false" customHeight="false" outlineLevel="0" collapsed="false">
      <c r="A203" s="35" t="str">
        <f aca="false">Infrastructure!$A$52</f>
        <v>FIDP-01</v>
      </c>
      <c r="B203" s="36" t="str">
        <f aca="false">VLOOKUP($A203,Infrastructure!$A$13:$E$74,2,0)&amp;""</f>
        <v>Are you utilizing a stateful packet inspection (SPI) firewall?*</v>
      </c>
      <c r="C203" s="199" t="str">
        <f aca="false">VLOOKUP($A203,Infrastructure!$A$13:$E$74,3,0)&amp;""</f>
        <v/>
      </c>
      <c r="D203" s="68" t="str">
        <f aca="false">IF(LEFT(VLOOKUP($A203,Infrastructure!$A$13:$E$74,5,0),21)='Auto Responses'!$A$32,'Auto Responses'!$A$33,VLOOKUP($A203,Infrastructure!$A$13:$E$74,4,0))&amp;""</f>
        <v>This question does not apply.</v>
      </c>
      <c r="E203" s="206" t="str">
        <f aca="false">VLOOKUP($A203,Infrastructure!$A$13:$E$74,5,0)&amp;""</f>
        <v>Based on the response to REQU-01 on the "START HERE" tab, this question does not apply to this product or service. </v>
      </c>
      <c r="F203" s="212"/>
      <c r="G203" s="197" t="str">
        <f aca="false">VLOOKUP($A203,Questions!$A$2:$X$333,21,0)&amp;""</f>
        <v>Yes</v>
      </c>
      <c r="H203" s="198"/>
      <c r="I203" s="199" t="str">
        <f aca="false">VLOOKUP($A203,Questions!$A$2:$X$333,23,0)&amp;""</f>
        <v>Critical Importance</v>
      </c>
      <c r="J203" s="198"/>
      <c r="K203" s="200" t="b">
        <f aca="false">FALSE()</f>
        <v>0</v>
      </c>
      <c r="L203" s="1"/>
    </row>
    <row r="204" s="176" customFormat="true" ht="17.9" hidden="false" customHeight="false" outlineLevel="0" collapsed="false">
      <c r="A204" s="35" t="str">
        <f aca="false">Infrastructure!$A$53</f>
        <v>FIDP-02</v>
      </c>
      <c r="B204" s="36" t="str">
        <f aca="false">VLOOKUP($A204,Infrastructure!$A$13:$E$74,2,0)&amp;""</f>
        <v>Do you have a documented policy for firewall change requests?*</v>
      </c>
      <c r="C204" s="199" t="str">
        <f aca="false">VLOOKUP($A204,Infrastructure!$A$13:$E$74,3,0)&amp;""</f>
        <v/>
      </c>
      <c r="D204" s="68" t="str">
        <f aca="false">IF(LEFT(VLOOKUP($A204,Infrastructure!$A$13:$E$74,5,0),21)='Auto Responses'!$A$32,'Auto Responses'!$A$33,VLOOKUP($A204,Infrastructure!$A$13:$E$74,4,0))&amp;""</f>
        <v>This question does not apply.</v>
      </c>
      <c r="E204" s="206" t="str">
        <f aca="false">VLOOKUP($A204,Infrastructure!$A$13:$E$74,5,0)&amp;""</f>
        <v>Based on the response to REQU-01 on the "START HERE" tab, this question does not apply to this product or service. </v>
      </c>
      <c r="F204" s="212"/>
      <c r="G204" s="197" t="str">
        <f aca="false">VLOOKUP($A204,Questions!$A$2:$X$333,21,0)&amp;""</f>
        <v>Yes</v>
      </c>
      <c r="H204" s="198"/>
      <c r="I204" s="199" t="str">
        <f aca="false">VLOOKUP($A204,Questions!$A$2:$X$333,23,0)&amp;""</f>
        <v>Critical Importance</v>
      </c>
      <c r="J204" s="198"/>
      <c r="K204" s="200" t="b">
        <f aca="false">FALSE()</f>
        <v>0</v>
      </c>
      <c r="L204" s="1"/>
    </row>
    <row r="205" s="176" customFormat="true" ht="31.3" hidden="false" customHeight="false" outlineLevel="0" collapsed="false">
      <c r="A205" s="35" t="str">
        <f aca="false">Infrastructure!$A$54</f>
        <v>FIDP-03</v>
      </c>
      <c r="B205" s="36" t="str">
        <f aca="false">VLOOKUP($A205,Infrastructure!$A$13:$E$74,2,0)&amp;""</f>
        <v>Have you implemented an intrusion detection system (network-based)?*</v>
      </c>
      <c r="C205" s="199" t="str">
        <f aca="false">VLOOKUP($A205,Infrastructure!$A$13:$E$74,3,0)&amp;""</f>
        <v/>
      </c>
      <c r="D205" s="68" t="str">
        <f aca="false">IF(LEFT(VLOOKUP($A205,Infrastructure!$A$13:$E$74,5,0),21)='Auto Responses'!$A$32,'Auto Responses'!$A$33,VLOOKUP($A205,Infrastructure!$A$13:$E$74,4,0))&amp;""</f>
        <v>This question does not apply.</v>
      </c>
      <c r="E205" s="206" t="str">
        <f aca="false">VLOOKUP($A205,Infrastructure!$A$13:$E$74,5,0)&amp;""</f>
        <v>Based on the response to REQU-01 on the "START HERE" tab, this question does not apply to this product or service. </v>
      </c>
      <c r="F205" s="212"/>
      <c r="G205" s="197" t="str">
        <f aca="false">VLOOKUP($A205,Questions!$A$2:$X$333,21,0)&amp;""</f>
        <v>Yes</v>
      </c>
      <c r="H205" s="198"/>
      <c r="I205" s="199" t="str">
        <f aca="false">VLOOKUP($A205,Questions!$A$2:$X$333,23,0)&amp;""</f>
        <v>Critical Importance</v>
      </c>
      <c r="J205" s="198"/>
      <c r="K205" s="200" t="b">
        <f aca="false">FALSE()</f>
        <v>0</v>
      </c>
      <c r="L205" s="1"/>
    </row>
    <row r="206" s="176" customFormat="true" ht="17.9" hidden="false" customHeight="false" outlineLevel="0" collapsed="false">
      <c r="A206" s="35" t="str">
        <f aca="false">Infrastructure!$A$55</f>
        <v>FIDP-04</v>
      </c>
      <c r="B206" s="36" t="str">
        <f aca="false">VLOOKUP($A206,Infrastructure!$A$13:$E$74,2,0)&amp;""</f>
        <v>Do you employ host-based intrusion detection?*</v>
      </c>
      <c r="C206" s="199" t="str">
        <f aca="false">VLOOKUP($A206,Infrastructure!$A$13:$E$74,3,0)&amp;""</f>
        <v/>
      </c>
      <c r="D206" s="68" t="str">
        <f aca="false">IF(LEFT(VLOOKUP($A206,Infrastructure!$A$13:$E$74,5,0),21)='Auto Responses'!$A$32,'Auto Responses'!$A$33,VLOOKUP($A206,Infrastructure!$A$13:$E$74,4,0))&amp;""</f>
        <v>This question does not apply.</v>
      </c>
      <c r="E206" s="206" t="str">
        <f aca="false">VLOOKUP($A206,Infrastructure!$A$13:$E$74,5,0)&amp;""</f>
        <v>Based on the response to REQU-01 on the "START HERE" tab, this question does not apply to this product or service. </v>
      </c>
      <c r="F206" s="212"/>
      <c r="G206" s="197" t="str">
        <f aca="false">VLOOKUP($A206,Questions!$A$2:$X$333,21,0)&amp;""</f>
        <v>Yes</v>
      </c>
      <c r="H206" s="198"/>
      <c r="I206" s="199" t="str">
        <f aca="false">VLOOKUP($A206,Questions!$A$2:$X$333,23,0)&amp;""</f>
        <v>Critical Importance</v>
      </c>
      <c r="J206" s="198"/>
      <c r="K206" s="200" t="b">
        <f aca="false">FALSE()</f>
        <v>0</v>
      </c>
      <c r="L206" s="1"/>
    </row>
    <row r="207" s="1" customFormat="true" ht="31.3" hidden="false" customHeight="false" outlineLevel="0" collapsed="false">
      <c r="A207" s="35" t="str">
        <f aca="false">Infrastructure!$A$56</f>
        <v>FIDP-05</v>
      </c>
      <c r="B207" s="36" t="str">
        <f aca="false">VLOOKUP($A207,Infrastructure!$A$13:$E$74,2,0)&amp;""</f>
        <v>Are audit logs available for all changes to the network, firewall, IDS, and IPS systems?*</v>
      </c>
      <c r="C207" s="199" t="str">
        <f aca="false">VLOOKUP($A207,Infrastructure!$A$13:$E$74,3,0)&amp;""</f>
        <v/>
      </c>
      <c r="D207" s="68" t="str">
        <f aca="false">IF(LEFT(VLOOKUP($A207,Infrastructure!$A$13:$E$74,5,0),21)='Auto Responses'!$A$32,'Auto Responses'!$A$33,VLOOKUP($A207,Infrastructure!$A$13:$E$74,4,0))&amp;""</f>
        <v>This question does not apply.</v>
      </c>
      <c r="E207" s="206" t="str">
        <f aca="false">VLOOKUP($A207,Infrastructure!$A$13:$E$74,5,0)&amp;""</f>
        <v>Based on the response to REQU-01 on the "START HERE" tab, this question does not apply to this product or service. </v>
      </c>
      <c r="F207" s="212"/>
      <c r="G207" s="197" t="str">
        <f aca="false">VLOOKUP($A207,Questions!$A$2:$X$333,21,0)&amp;""</f>
        <v>Yes</v>
      </c>
      <c r="H207" s="198"/>
      <c r="I207" s="199" t="str">
        <f aca="false">VLOOKUP($A207,Questions!$A$2:$X$333,23,0)&amp;""</f>
        <v>Critical Importance</v>
      </c>
      <c r="J207" s="198"/>
      <c r="K207" s="200" t="b">
        <f aca="false">FALSE()</f>
        <v>0</v>
      </c>
      <c r="M207" s="176"/>
      <c r="N207" s="176"/>
    </row>
    <row r="208" s="176" customFormat="true" ht="31.3" hidden="false" customHeight="false" outlineLevel="0" collapsed="false">
      <c r="A208" s="35" t="str">
        <f aca="false">Infrastructure!$A$57</f>
        <v>FIDP-06</v>
      </c>
      <c r="B208" s="36" t="str">
        <f aca="false">VLOOKUP($A208,Infrastructure!$A$13:$E$74,2,0)&amp;""</f>
        <v>Is authority for firewall change approval documented? Please list approver names or titles in Additional Info.</v>
      </c>
      <c r="C208" s="199" t="str">
        <f aca="false">VLOOKUP($A208,Infrastructure!$A$13:$E$74,3,0)&amp;""</f>
        <v/>
      </c>
      <c r="D208" s="68" t="str">
        <f aca="false">IF(LEFT(VLOOKUP($A208,Infrastructure!$A$13:$E$74,5,0),21)='Auto Responses'!$A$32,'Auto Responses'!$A$33,VLOOKUP($A208,Infrastructure!$A$13:$E$74,4,0))&amp;""</f>
        <v>This question does not apply.</v>
      </c>
      <c r="E208" s="206" t="str">
        <f aca="false">VLOOKUP($A208,Infrastructure!$A$13:$E$74,5,0)&amp;""</f>
        <v>Based on the response to REQU-01 on the "START HERE" tab, this question does not apply to this product or service. </v>
      </c>
      <c r="F208" s="212"/>
      <c r="G208" s="197" t="str">
        <f aca="false">VLOOKUP($A208,Questions!$A$2:$X$333,21,0)&amp;""</f>
        <v>Yes</v>
      </c>
      <c r="H208" s="198"/>
      <c r="I208" s="199" t="str">
        <f aca="false">VLOOKUP($A208,Questions!$A$2:$X$333,23,0)&amp;""</f>
        <v>Standard Importance</v>
      </c>
      <c r="J208" s="198"/>
      <c r="K208" s="200" t="b">
        <f aca="false">FALSE()</f>
        <v>0</v>
      </c>
      <c r="L208" s="1"/>
    </row>
    <row r="209" s="176" customFormat="true" ht="31.3" hidden="false" customHeight="false" outlineLevel="0" collapsed="false">
      <c r="A209" s="35" t="str">
        <f aca="false">Infrastructure!$A$58</f>
        <v>FIDP-07</v>
      </c>
      <c r="B209" s="36" t="str">
        <f aca="false">VLOOKUP($A209,Infrastructure!$A$13:$E$74,2,0)&amp;""</f>
        <v>Have you implemented an intrusion prevention system (network-based)?</v>
      </c>
      <c r="C209" s="199" t="str">
        <f aca="false">VLOOKUP($A209,Infrastructure!$A$13:$E$74,3,0)&amp;""</f>
        <v/>
      </c>
      <c r="D209" s="68" t="str">
        <f aca="false">IF(LEFT(VLOOKUP($A209,Infrastructure!$A$13:$E$74,5,0),21)='Auto Responses'!$A$32,'Auto Responses'!$A$33,VLOOKUP($A209,Infrastructure!$A$13:$E$74,4,0))&amp;""</f>
        <v>This question does not apply.</v>
      </c>
      <c r="E209" s="206" t="str">
        <f aca="false">VLOOKUP($A209,Infrastructure!$A$13:$E$74,5,0)&amp;""</f>
        <v>Based on the response to REQU-01 on the "START HERE" tab, this question does not apply to this product or service. </v>
      </c>
      <c r="F209" s="212"/>
      <c r="G209" s="197" t="str">
        <f aca="false">VLOOKUP($A209,Questions!$A$2:$X$333,21,0)&amp;""</f>
        <v>Yes</v>
      </c>
      <c r="H209" s="198"/>
      <c r="I209" s="199" t="str">
        <f aca="false">VLOOKUP($A209,Questions!$A$2:$X$333,23,0)&amp;""</f>
        <v>Standard Importance</v>
      </c>
      <c r="J209" s="198"/>
      <c r="K209" s="200" t="b">
        <f aca="false">FALSE()</f>
        <v>0</v>
      </c>
      <c r="L209" s="1"/>
    </row>
    <row r="210" s="176" customFormat="true" ht="17.9" hidden="false" customHeight="false" outlineLevel="0" collapsed="false">
      <c r="A210" s="35" t="str">
        <f aca="false">Infrastructure!$A$59</f>
        <v>FIDP-08</v>
      </c>
      <c r="B210" s="36" t="str">
        <f aca="false">VLOOKUP($A210,Infrastructure!$A$13:$E$74,2,0)&amp;""</f>
        <v>Do you employ host-based intrusion prevention?</v>
      </c>
      <c r="C210" s="199" t="str">
        <f aca="false">VLOOKUP($A210,Infrastructure!$A$13:$E$74,3,0)&amp;""</f>
        <v/>
      </c>
      <c r="D210" s="68" t="str">
        <f aca="false">IF(LEFT(VLOOKUP($A210,Infrastructure!$A$13:$E$74,5,0),21)='Auto Responses'!$A$32,'Auto Responses'!$A$33,VLOOKUP($A210,Infrastructure!$A$13:$E$74,4,0))&amp;""</f>
        <v>This question does not apply.</v>
      </c>
      <c r="E210" s="206" t="str">
        <f aca="false">VLOOKUP($A210,Infrastructure!$A$13:$E$74,5,0)&amp;""</f>
        <v>Based on the response to REQU-01 on the "START HERE" tab, this question does not apply to this product or service. </v>
      </c>
      <c r="F210" s="212"/>
      <c r="G210" s="197" t="str">
        <f aca="false">VLOOKUP($A210,Questions!$A$2:$X$333,21,0)&amp;""</f>
        <v>Yes</v>
      </c>
      <c r="H210" s="198"/>
      <c r="I210" s="199" t="str">
        <f aca="false">VLOOKUP($A210,Questions!$A$2:$X$333,23,0)&amp;""</f>
        <v>Standard Importance</v>
      </c>
      <c r="J210" s="198"/>
      <c r="K210" s="200" t="b">
        <f aca="false">FALSE()</f>
        <v>0</v>
      </c>
      <c r="L210" s="1"/>
    </row>
    <row r="211" s="176" customFormat="true" ht="31.3" hidden="false" customHeight="false" outlineLevel="0" collapsed="false">
      <c r="A211" s="35" t="str">
        <f aca="false">Infrastructure!$A$60</f>
        <v>FIDP-09</v>
      </c>
      <c r="B211" s="36" t="str">
        <f aca="false">VLOOKUP($A211,Infrastructure!$A$13:$E$74,2,0)&amp;""</f>
        <v>Are you employing any next-generation persistent threat (NGPT) monitoring?</v>
      </c>
      <c r="C211" s="199" t="str">
        <f aca="false">VLOOKUP($A211,Infrastructure!$A$13:$E$74,3,0)&amp;""</f>
        <v/>
      </c>
      <c r="D211" s="68" t="str">
        <f aca="false">IF(LEFT(VLOOKUP($A211,Infrastructure!$A$13:$E$74,5,0),21)='Auto Responses'!$A$32,'Auto Responses'!$A$33,VLOOKUP($A211,Infrastructure!$A$13:$E$74,4,0))&amp;""</f>
        <v>This question does not apply.</v>
      </c>
      <c r="E211" s="206" t="str">
        <f aca="false">VLOOKUP($A211,Infrastructure!$A$13:$E$74,5,0)&amp;""</f>
        <v>Based on the response to REQU-01 on the "START HERE" tab, this question does not apply to this product or service. </v>
      </c>
      <c r="F211" s="212"/>
      <c r="G211" s="197" t="str">
        <f aca="false">VLOOKUP($A211,Questions!$A$2:$X$333,21,0)&amp;""</f>
        <v>Yes</v>
      </c>
      <c r="H211" s="198"/>
      <c r="I211" s="199" t="str">
        <f aca="false">VLOOKUP($A211,Questions!$A$2:$X$333,23,0)&amp;""</f>
        <v>Standard Importance</v>
      </c>
      <c r="J211" s="198"/>
      <c r="K211" s="200" t="b">
        <f aca="false">FALSE()</f>
        <v>0</v>
      </c>
      <c r="L211" s="1"/>
    </row>
    <row r="212" s="1" customFormat="true" ht="99.95" hidden="false" customHeight="false" outlineLevel="0" collapsed="false">
      <c r="A212" s="35" t="str">
        <f aca="false">Infrastructure!$A$61</f>
        <v>FIDP-10</v>
      </c>
      <c r="B212" s="36" t="str">
        <f aca="false">VLOOKUP($A212,Infrastructure!$A$13:$E$74,2,0)&amp;""</f>
        <v>Is intrusion monitoring performed internally or by a third-party service?</v>
      </c>
      <c r="C212" s="199" t="str">
        <f aca="false">VLOOKUP($A212,Infrastructure!$A$13:$E$74,3,0)&amp;""</f>
        <v/>
      </c>
      <c r="D212" s="68" t="str">
        <f aca="false">IF(LEFT(VLOOKUP($A212,Infrastructure!$A$13:$E$74,5,0),21)='Auto Responses'!$A$32,'Auto Responses'!$A$33,VLOOKUP($A212,Infrastructure!$A$13:$E$74,4,0))&amp;""</f>
        <v>This question does not apply.</v>
      </c>
      <c r="E212" s="206" t="str">
        <f aca="false">VLOOKUP($A212,Infrastructure!$A$13:$E$74,5,0)&amp;""</f>
        <v>Based on the response to REQU-01 on the "START HERE" tab, this question does not apply to this product or service. </v>
      </c>
      <c r="F212" s="212"/>
      <c r="G212" s="197" t="str">
        <f aca="false">VLOOKUP($A212,Questions!$A$2:$X$333,21,0)&amp;""</f>
        <v>Not scored</v>
      </c>
      <c r="H212" s="198"/>
      <c r="I212" s="199" t="str">
        <f aca="false">VLOOKUP($A212,Questions!$A$2:$X$333,23,0)&amp;""</f>
        <v/>
      </c>
      <c r="J212" s="198"/>
      <c r="K212" s="200" t="b">
        <f aca="false">FALSE()</f>
        <v>0</v>
      </c>
      <c r="M212" s="176"/>
      <c r="N212" s="176"/>
    </row>
    <row r="213" s="176" customFormat="true" ht="17.9" hidden="false" customHeight="false" outlineLevel="0" collapsed="false">
      <c r="A213" s="35" t="str">
        <f aca="false">Infrastructure!$A$62</f>
        <v>FIDP-11</v>
      </c>
      <c r="B213" s="36" t="str">
        <f aca="false">VLOOKUP($A213,Infrastructure!$A$13:$E$74,2,0)&amp;""</f>
        <v>Do you monitor for intrusions on a 24 x 7 x 365 basis?</v>
      </c>
      <c r="C213" s="199" t="str">
        <f aca="false">VLOOKUP($A213,Infrastructure!$A$13:$E$74,3,0)&amp;""</f>
        <v/>
      </c>
      <c r="D213" s="68" t="str">
        <f aca="false">IF(LEFT(VLOOKUP($A213,Infrastructure!$A$13:$E$74,5,0),21)='Auto Responses'!$A$32,'Auto Responses'!$A$33,VLOOKUP($A213,Infrastructure!$A$13:$E$74,4,0))&amp;""</f>
        <v>This question does not apply.</v>
      </c>
      <c r="E213" s="206" t="str">
        <f aca="false">VLOOKUP($A213,Infrastructure!$A$13:$E$74,5,0)&amp;""</f>
        <v>Based on the response to REQU-01 on the "START HERE" tab, this question does not apply to this product or service. </v>
      </c>
      <c r="F213" s="212"/>
      <c r="G213" s="197" t="str">
        <f aca="false">VLOOKUP($A213,Questions!$A$2:$X$333,21,0)&amp;""</f>
        <v>Yes</v>
      </c>
      <c r="H213" s="198"/>
      <c r="I213" s="199" t="str">
        <f aca="false">VLOOKUP($A213,Questions!$A$2:$X$333,23,0)&amp;""</f>
        <v>Minor Importance</v>
      </c>
      <c r="J213" s="198"/>
      <c r="K213" s="200" t="b">
        <f aca="false">FALSE()</f>
        <v>0</v>
      </c>
      <c r="L213" s="1"/>
    </row>
    <row r="214" s="176" customFormat="true" ht="17.9" hidden="false" customHeight="false" outlineLevel="0" collapsed="false">
      <c r="A214" s="31" t="str">
        <f aca="false">VLOOKUP(LEFT($A215,4),'Auto Responses'!$N$4:$O$38,2,0)&amp;""</f>
        <v> Incident Handling</v>
      </c>
      <c r="B214" s="42"/>
      <c r="C214" s="43"/>
      <c r="D214" s="43"/>
      <c r="E214" s="204"/>
      <c r="F214" s="192" t="s">
        <v>454</v>
      </c>
      <c r="G214" s="201" t="s">
        <v>449</v>
      </c>
      <c r="H214" s="201" t="s">
        <v>450</v>
      </c>
      <c r="I214" s="201" t="s">
        <v>451</v>
      </c>
      <c r="J214" s="201" t="s">
        <v>452</v>
      </c>
      <c r="K214" s="43"/>
      <c r="L214" s="1"/>
      <c r="M214" s="1"/>
      <c r="N214" s="1"/>
    </row>
    <row r="215" s="176" customFormat="true" ht="17.9" hidden="false" customHeight="false" outlineLevel="0" collapsed="false">
      <c r="A215" s="35" t="str">
        <f aca="false">Infrastructure!$A$64</f>
        <v>HFIH-01</v>
      </c>
      <c r="B215" s="36" t="str">
        <f aca="false">VLOOKUP($A215,Infrastructure!$A$13:$E$74,2,0)&amp;""</f>
        <v>Do you have a formal incident response plan?</v>
      </c>
      <c r="C215" s="199" t="str">
        <f aca="false">VLOOKUP($A215,Infrastructure!$A$13:$E$74,3,0)&amp;""</f>
        <v/>
      </c>
      <c r="D215" s="68" t="str">
        <f aca="false">IF(LEFT(VLOOKUP($A215,Infrastructure!$A$13:$E$74,5,0),21)='Auto Responses'!$A$32,'Auto Responses'!$A$33,VLOOKUP($A215,Infrastructure!$A$13:$E$74,4,0))&amp;""</f>
        <v>This question does not apply.</v>
      </c>
      <c r="E215" s="206" t="str">
        <f aca="false">VLOOKUP($A215,Infrastructure!$A$13:$E$74,5,0)&amp;""</f>
        <v>Based on the response to REQU-01 on the "START HERE" tab, this question does not apply to this product or service. </v>
      </c>
      <c r="F215" s="212"/>
      <c r="G215" s="197" t="str">
        <f aca="false">VLOOKUP($A215,Questions!$A$2:$X$333,21,0)&amp;""</f>
        <v>Yes</v>
      </c>
      <c r="H215" s="198"/>
      <c r="I215" s="199" t="str">
        <f aca="false">VLOOKUP($A215,Questions!$A$2:$X$333,23,0)&amp;""</f>
        <v>Standard Importance</v>
      </c>
      <c r="J215" s="198"/>
      <c r="K215" s="200" t="b">
        <f aca="false">FALSE()</f>
        <v>0</v>
      </c>
      <c r="L215" s="1"/>
    </row>
    <row r="216" s="176" customFormat="true" ht="31.3" hidden="false" customHeight="false" outlineLevel="0" collapsed="false">
      <c r="A216" s="35" t="str">
        <f aca="false">Infrastructure!$A$65</f>
        <v>HFIH-02</v>
      </c>
      <c r="B216" s="36" t="str">
        <f aca="false">VLOOKUP($A216,Infrastructure!$A$13:$E$74,2,0)&amp;""</f>
        <v>Do you either have an internal incident response team or retain an external team?</v>
      </c>
      <c r="C216" s="199" t="str">
        <f aca="false">VLOOKUP($A216,Infrastructure!$A$13:$E$74,3,0)&amp;""</f>
        <v/>
      </c>
      <c r="D216" s="68" t="str">
        <f aca="false">IF(LEFT(VLOOKUP($A216,Infrastructure!$A$13:$E$74,5,0),21)='Auto Responses'!$A$32,'Auto Responses'!$A$33,VLOOKUP($A216,Infrastructure!$A$13:$E$74,4,0))&amp;""</f>
        <v>This question does not apply.</v>
      </c>
      <c r="E216" s="206" t="str">
        <f aca="false">VLOOKUP($A216,Infrastructure!$A$13:$E$74,5,0)&amp;""</f>
        <v>Based on the response to REQU-01 on the "START HERE" tab, this question does not apply to this product or service. </v>
      </c>
      <c r="F216" s="212"/>
      <c r="G216" s="197" t="str">
        <f aca="false">VLOOKUP($A216,Questions!$A$2:$X$333,21,0)&amp;""</f>
        <v>Yes</v>
      </c>
      <c r="H216" s="198"/>
      <c r="I216" s="199" t="str">
        <f aca="false">VLOOKUP($A216,Questions!$A$2:$X$333,23,0)&amp;""</f>
        <v>Minor Importance</v>
      </c>
      <c r="J216" s="198"/>
      <c r="K216" s="200" t="b">
        <f aca="false">FALSE()</f>
        <v>0</v>
      </c>
      <c r="L216" s="1"/>
    </row>
    <row r="217" s="176" customFormat="true" ht="31.3" hidden="false" customHeight="false" outlineLevel="0" collapsed="false">
      <c r="A217" s="35" t="str">
        <f aca="false">Infrastructure!$A$66</f>
        <v>HFIH-03</v>
      </c>
      <c r="B217" s="36" t="str">
        <f aca="false">VLOOKUP($A217,Infrastructure!$A$13:$E$74,2,0)&amp;""</f>
        <v>Do you have the capability to respond to incidents on a 24 x 7 x 365 basis?</v>
      </c>
      <c r="C217" s="199" t="str">
        <f aca="false">VLOOKUP($A217,Infrastructure!$A$13:$E$74,3,0)&amp;""</f>
        <v/>
      </c>
      <c r="D217" s="68" t="str">
        <f aca="false">IF(LEFT(VLOOKUP($A217,Infrastructure!$A$13:$E$74,5,0),21)='Auto Responses'!$A$32,'Auto Responses'!$A$33,VLOOKUP($A217,Infrastructure!$A$13:$E$74,4,0))&amp;""</f>
        <v>This question does not apply.</v>
      </c>
      <c r="E217" s="206" t="str">
        <f aca="false">VLOOKUP($A217,Infrastructure!$A$13:$E$74,5,0)&amp;""</f>
        <v>Based on the response to REQU-01 on the "START HERE" tab, this question does not apply to this product or service. </v>
      </c>
      <c r="F217" s="212"/>
      <c r="G217" s="197" t="str">
        <f aca="false">VLOOKUP($A217,Questions!$A$2:$X$333,21,0)&amp;""</f>
        <v>Yes</v>
      </c>
      <c r="H217" s="198"/>
      <c r="I217" s="199" t="str">
        <f aca="false">VLOOKUP($A217,Questions!$A$2:$X$333,23,0)&amp;""</f>
        <v>Minor Importance</v>
      </c>
      <c r="J217" s="198"/>
      <c r="K217" s="200" t="b">
        <f aca="false">FALSE()</f>
        <v>0</v>
      </c>
      <c r="L217" s="1"/>
    </row>
    <row r="218" s="176" customFormat="true" ht="31.3" hidden="false" customHeight="false" outlineLevel="0" collapsed="false">
      <c r="A218" s="35" t="str">
        <f aca="false">Infrastructure!$A$67</f>
        <v>HFIH-04</v>
      </c>
      <c r="B218" s="36" t="str">
        <f aca="false">VLOOKUP($A218,Infrastructure!$A$13:$E$74,2,0)&amp;""</f>
        <v>Do you carry cyber-risk insurance to protect against unforeseen service outages, data that is lost or stolen, and security incidents?</v>
      </c>
      <c r="C218" s="199" t="str">
        <f aca="false">VLOOKUP($A218,Infrastructure!$A$13:$E$74,3,0)&amp;""</f>
        <v/>
      </c>
      <c r="D218" s="68" t="str">
        <f aca="false">IF(LEFT(VLOOKUP($A218,Infrastructure!$A$13:$E$74,5,0),21)='Auto Responses'!$A$32,'Auto Responses'!$A$33,VLOOKUP($A218,Infrastructure!$A$13:$E$74,4,0))&amp;""</f>
        <v>This question does not apply.</v>
      </c>
      <c r="E218" s="206" t="str">
        <f aca="false">VLOOKUP($A218,Infrastructure!$A$13:$E$74,5,0)&amp;""</f>
        <v>Based on the response to REQU-01 on the "START HERE" tab, this question does not apply to this product or service. </v>
      </c>
      <c r="F218" s="212"/>
      <c r="G218" s="197" t="str">
        <f aca="false">VLOOKUP($A218,Questions!$A$2:$X$333,21,0)&amp;""</f>
        <v>Yes</v>
      </c>
      <c r="H218" s="198"/>
      <c r="I218" s="199" t="str">
        <f aca="false">VLOOKUP($A218,Questions!$A$2:$X$333,23,0)&amp;""</f>
        <v>Minor Importance</v>
      </c>
      <c r="J218" s="198"/>
      <c r="K218" s="200" t="b">
        <f aca="false">FALSE()</f>
        <v>0</v>
      </c>
      <c r="L218" s="1"/>
    </row>
    <row r="219" s="1" customFormat="true" ht="17.9" hidden="false" customHeight="false" outlineLevel="0" collapsed="false">
      <c r="A219" s="31" t="str">
        <f aca="false">VLOOKUP(LEFT($A220,4),'Auto Responses'!$N$4:$O$38,2,0)&amp;""</f>
        <v> Vulnerability Management</v>
      </c>
      <c r="B219" s="42"/>
      <c r="C219" s="43"/>
      <c r="D219" s="43"/>
      <c r="E219" s="204"/>
      <c r="F219" s="192" t="s">
        <v>454</v>
      </c>
      <c r="G219" s="201" t="s">
        <v>449</v>
      </c>
      <c r="H219" s="201" t="s">
        <v>450</v>
      </c>
      <c r="I219" s="201" t="s">
        <v>451</v>
      </c>
      <c r="J219" s="201" t="s">
        <v>452</v>
      </c>
      <c r="K219" s="43"/>
    </row>
    <row r="220" s="176" customFormat="true" ht="31.3" hidden="false" customHeight="false" outlineLevel="0" collapsed="false">
      <c r="A220" s="35" t="str">
        <f aca="false">Infrastructure!$A$69</f>
        <v>VULN-01</v>
      </c>
      <c r="B220" s="36" t="str">
        <f aca="false">VLOOKUP($A220,Infrastructure!$A$13:$E$74,2,0)&amp;""</f>
        <v>Are your systems and applications scanned with an authenticated user account for vulnerabilities (that are remediated) prior to new releases?*</v>
      </c>
      <c r="C220" s="199" t="str">
        <f aca="false">VLOOKUP($A220,Infrastructure!$A$13:$E$74,3,0)&amp;""</f>
        <v/>
      </c>
      <c r="D220" s="68" t="str">
        <f aca="false">IF(LEFT(VLOOKUP($A220,Infrastructure!$A$13:$E$74,5,0),21)='Auto Responses'!$A$32,'Auto Responses'!$A$33,VLOOKUP($A220,Infrastructure!$A$13:$E$74,4,0))&amp;""</f>
        <v>This question does not apply.</v>
      </c>
      <c r="E220" s="206" t="str">
        <f aca="false">VLOOKUP($A220,Infrastructure!$A$13:$E$74,5,0)&amp;""</f>
        <v>Based on the response to REQU-01 on the "START HERE" tab, this question does not apply to this product or service. </v>
      </c>
      <c r="F220" s="212"/>
      <c r="G220" s="197" t="str">
        <f aca="false">VLOOKUP($A220,Questions!$A$2:$X$333,21,0)&amp;""</f>
        <v>Yes</v>
      </c>
      <c r="H220" s="198"/>
      <c r="I220" s="199" t="str">
        <f aca="false">VLOOKUP($A220,Questions!$A$2:$X$333,23,0)&amp;""</f>
        <v>Critical Importance</v>
      </c>
      <c r="J220" s="198"/>
      <c r="K220" s="200" t="b">
        <f aca="false">FALSE()</f>
        <v>0</v>
      </c>
      <c r="L220" s="1"/>
    </row>
    <row r="221" s="176" customFormat="true" ht="67.15" hidden="false" customHeight="false" outlineLevel="0" collapsed="false">
      <c r="A221" s="35" t="str">
        <f aca="false">Infrastructure!$A$70</f>
        <v>VULN-02</v>
      </c>
      <c r="B221" s="36" t="str">
        <f aca="false">VLOOKUP($A221,Infrastructure!$A$13:$E$74,2,0)&amp;""</f>
        <v>Will you provide results of application and system vulnerability scans to the institution?*</v>
      </c>
      <c r="C221" s="199" t="str">
        <f aca="false">VLOOKUP($A221,Infrastructure!$A$13:$E$74,3,0)&amp;""</f>
        <v/>
      </c>
      <c r="D221" s="68" t="str">
        <f aca="false">IF(LEFT(VLOOKUP($A221,Infrastructure!$A$13:$E$74,5,0),21)='Auto Responses'!$A$32,'Auto Responses'!$A$33,VLOOKUP($A221,Infrastructure!$A$13:$E$74,4,0))&amp;""</f>
        <v>This question does not apply.</v>
      </c>
      <c r="E221" s="206" t="str">
        <f aca="false">VLOOKUP($A221,Infrastructure!$A$13:$E$74,5,0)&amp;""</f>
        <v>Based on the response to REQU-01 on the "START HERE" tab, this question does not apply to this product or service. </v>
      </c>
      <c r="F221" s="212"/>
      <c r="G221" s="197" t="str">
        <f aca="false">VLOOKUP($A221,Questions!$A$2:$X$333,21,0)&amp;""</f>
        <v>Yes</v>
      </c>
      <c r="H221" s="198"/>
      <c r="I221" s="199" t="str">
        <f aca="false">VLOOKUP($A221,Questions!$A$2:$X$333,23,0)&amp;""</f>
        <v>Critical Importance</v>
      </c>
      <c r="J221" s="198"/>
      <c r="K221" s="200" t="b">
        <f aca="false">FALSE()</f>
        <v>0</v>
      </c>
      <c r="L221" s="1"/>
    </row>
    <row r="222" s="176" customFormat="true" ht="67.15" hidden="false" customHeight="false" outlineLevel="0" collapsed="false">
      <c r="A222" s="35" t="str">
        <f aca="false">Infrastructure!$A$71</f>
        <v>VULN-03</v>
      </c>
      <c r="B222" s="36" t="str">
        <f aca="false">VLOOKUP($A222,Infrastructure!$A$13:$E$74,2,0)&amp;""</f>
        <v>Will you allow the institution to perform its own vulnerability testing and/or scanning of your systems and/or application, provided that testing is performed at a mutually agreed upon time and date?*</v>
      </c>
      <c r="C222" s="199" t="str">
        <f aca="false">VLOOKUP($A222,Infrastructure!$A$13:$E$74,3,0)&amp;""</f>
        <v/>
      </c>
      <c r="D222" s="68" t="str">
        <f aca="false">IF(LEFT(VLOOKUP($A222,Infrastructure!$A$13:$E$74,5,0),21)='Auto Responses'!$A$32,'Auto Responses'!$A$33,VLOOKUP($A222,Infrastructure!$A$13:$E$74,4,0))&amp;""</f>
        <v>This question does not apply.</v>
      </c>
      <c r="E222" s="206" t="str">
        <f aca="false">VLOOKUP($A222,Infrastructure!$A$13:$E$74,5,0)&amp;""</f>
        <v>Based on the response to REQU-01 on the "START HERE" tab, this question does not apply to this product or service. </v>
      </c>
      <c r="F222" s="212"/>
      <c r="G222" s="197" t="str">
        <f aca="false">VLOOKUP($A222,Questions!$A$2:$X$333,21,0)&amp;""</f>
        <v>Yes</v>
      </c>
      <c r="H222" s="198"/>
      <c r="I222" s="199" t="str">
        <f aca="false">VLOOKUP($A222,Questions!$A$2:$X$333,23,0)&amp;""</f>
        <v>Critical Importance</v>
      </c>
      <c r="J222" s="198"/>
      <c r="K222" s="200" t="b">
        <f aca="false">FALSE()</f>
        <v>0</v>
      </c>
      <c r="L222" s="1"/>
    </row>
    <row r="223" s="176" customFormat="true" ht="67.15" hidden="false" customHeight="false" outlineLevel="0" collapsed="false">
      <c r="A223" s="35" t="str">
        <f aca="false">Infrastructure!$A$72</f>
        <v>VULN-04</v>
      </c>
      <c r="B223" s="36" t="str">
        <f aca="false">VLOOKUP($A223,Infrastructure!$A$13:$E$74,2,0)&amp;""</f>
        <v>Have your systems and applications had a third-party security assessment completed in the last year?</v>
      </c>
      <c r="C223" s="199" t="str">
        <f aca="false">VLOOKUP($A223,Infrastructure!$A$13:$E$74,3,0)&amp;""</f>
        <v/>
      </c>
      <c r="D223" s="68" t="str">
        <f aca="false">IF(LEFT(VLOOKUP($A223,Infrastructure!$A$13:$E$74,5,0),21)='Auto Responses'!$A$32,'Auto Responses'!$A$33,VLOOKUP($A223,Infrastructure!$A$13:$E$74,4,0))&amp;""</f>
        <v>This question does not apply.</v>
      </c>
      <c r="E223" s="206" t="str">
        <f aca="false">VLOOKUP($A223,Infrastructure!$A$13:$E$74,5,0)&amp;""</f>
        <v>Based on the response to REQU-01 on the "START HERE" tab, this question does not apply to this product or service. </v>
      </c>
      <c r="F223" s="212"/>
      <c r="G223" s="197" t="str">
        <f aca="false">VLOOKUP($A223,Questions!$A$2:$X$333,21,0)&amp;""</f>
        <v>Yes</v>
      </c>
      <c r="H223" s="198"/>
      <c r="I223" s="199" t="str">
        <f aca="false">VLOOKUP($A223,Questions!$A$2:$X$333,23,0)&amp;""</f>
        <v>Standard Importance</v>
      </c>
      <c r="J223" s="198"/>
      <c r="K223" s="200" t="b">
        <f aca="false">FALSE()</f>
        <v>0</v>
      </c>
      <c r="L223" s="1"/>
    </row>
    <row r="224" s="176" customFormat="true" ht="67.15" hidden="false" customHeight="false" outlineLevel="0" collapsed="false">
      <c r="A224" s="35" t="str">
        <f aca="false">Infrastructure!$A$73</f>
        <v>VULN-05</v>
      </c>
      <c r="B224" s="36" t="str">
        <f aca="false">VLOOKUP($A224,Infrastructure!$A$13:$E$74,2,0)&amp;""</f>
        <v>Do you regularly scan for common web application security vulnerabilities (e.g., SQL injection, XSS, XSRF, etc.)?</v>
      </c>
      <c r="C224" s="199" t="str">
        <f aca="false">VLOOKUP($A224,Infrastructure!$A$13:$E$74,3,0)&amp;""</f>
        <v/>
      </c>
      <c r="D224" s="68" t="str">
        <f aca="false">IF(LEFT(VLOOKUP($A224,Infrastructure!$A$13:$E$74,5,0),21)='Auto Responses'!$A$32,'Auto Responses'!$A$33,VLOOKUP($A224,Infrastructure!$A$13:$E$74,4,0))&amp;""</f>
        <v>This question does not apply.</v>
      </c>
      <c r="E224" s="206" t="str">
        <f aca="false">VLOOKUP($A224,Infrastructure!$A$13:$E$74,5,0)&amp;""</f>
        <v>Based on the response to REQU-01 on the "START HERE" tab, this question does not apply to this product or service. </v>
      </c>
      <c r="F224" s="212"/>
      <c r="G224" s="197" t="str">
        <f aca="false">VLOOKUP($A224,Questions!$A$2:$X$333,21,0)&amp;""</f>
        <v>Yes</v>
      </c>
      <c r="H224" s="198"/>
      <c r="I224" s="199" t="str">
        <f aca="false">VLOOKUP($A224,Questions!$A$2:$X$333,23,0)&amp;""</f>
        <v>Standard Importance</v>
      </c>
      <c r="J224" s="198"/>
      <c r="K224" s="200" t="b">
        <f aca="false">FALSE()</f>
        <v>0</v>
      </c>
      <c r="L224" s="1"/>
    </row>
    <row r="225" s="176" customFormat="true" ht="31.3" hidden="false" customHeight="false" outlineLevel="0" collapsed="false">
      <c r="A225" s="35" t="str">
        <f aca="false">Infrastructure!$A$74</f>
        <v>VULN-06</v>
      </c>
      <c r="B225" s="36" t="str">
        <f aca="false">VLOOKUP($A225,Infrastructure!$A$13:$E$74,2,0)&amp;""</f>
        <v>Are your systems and applications regularly scanned externally for vulnerabilities?</v>
      </c>
      <c r="C225" s="199" t="str">
        <f aca="false">VLOOKUP($A225,Infrastructure!$A$13:$E$74,3,0)&amp;""</f>
        <v/>
      </c>
      <c r="D225" s="68" t="str">
        <f aca="false">IF(LEFT(VLOOKUP($A225,Infrastructure!$A$13:$E$74,5,0),21)='Auto Responses'!$A$32,'Auto Responses'!$A$33,VLOOKUP($A225,Infrastructure!$A$13:$E$74,4,0))&amp;""</f>
        <v>This question does not apply.</v>
      </c>
      <c r="E225" s="206" t="str">
        <f aca="false">VLOOKUP($A225,Infrastructure!$A$13:$E$74,5,0)&amp;""</f>
        <v>Based on the response to REQU-01 on the "START HERE" tab, this question does not apply to this product or service. </v>
      </c>
      <c r="F225" s="212"/>
      <c r="G225" s="197" t="str">
        <f aca="false">VLOOKUP($A225,Questions!$A$2:$X$333,21,0)&amp;""</f>
        <v>Yes</v>
      </c>
      <c r="H225" s="198"/>
      <c r="I225" s="199" t="str">
        <f aca="false">VLOOKUP($A225,Questions!$A$2:$X$333,23,0)&amp;""</f>
        <v>Minor Importance</v>
      </c>
      <c r="J225" s="198"/>
      <c r="K225" s="213" t="b">
        <f aca="false">FALSE()</f>
        <v>0</v>
      </c>
      <c r="L225" s="1"/>
    </row>
    <row r="226" s="176" customFormat="true" ht="17.9" hidden="false" customHeight="false" outlineLevel="0" collapsed="false">
      <c r="A226" s="31" t="str">
        <f aca="false">VLOOKUP(LEFT($A227,4),'Auto Responses'!$N$4:$O$38,2,0)&amp;""</f>
        <v> IT Accessibility</v>
      </c>
      <c r="B226" s="42"/>
      <c r="C226" s="43"/>
      <c r="D226" s="43"/>
      <c r="E226" s="204"/>
      <c r="F226" s="192" t="s">
        <v>454</v>
      </c>
      <c r="G226" s="201" t="s">
        <v>449</v>
      </c>
      <c r="H226" s="201" t="s">
        <v>450</v>
      </c>
      <c r="I226" s="201" t="s">
        <v>451</v>
      </c>
      <c r="J226" s="201" t="s">
        <v>452</v>
      </c>
      <c r="K226" s="43"/>
      <c r="L226" s="1"/>
      <c r="M226" s="1"/>
      <c r="N226" s="1"/>
    </row>
    <row r="227" s="176" customFormat="true" ht="17.9" hidden="false" customHeight="false" outlineLevel="0" collapsed="false">
      <c r="A227" s="35" t="str">
        <f aca="false">'IT Accessibility'!$A$20</f>
        <v>ITAC-01</v>
      </c>
      <c r="B227" s="36" t="str">
        <f aca="false">VLOOKUP($A227,'IT Accessibility'!$A$13:$E$37,2,0)&amp;""</f>
        <v>Solution Provider Accessibility Contact Name</v>
      </c>
      <c r="C227" s="203" t="str">
        <f aca="false">VLOOKUP($A227,'IT Accessibility'!$A$13:$E$37,3,0)&amp;""</f>
        <v>QGIS US user group</v>
      </c>
      <c r="D227" s="194" t="str">
        <f aca="false">IF(LEFT(VLOOKUP($A227,'IT Accessibility'!$A$13:$E$37,5,0),21)='Auto Responses'!$A$32,'Auto Responses'!$A$33,VLOOKUP($A227,'IT Accessibility'!$A$13:$E$37,4,0))&amp;""</f>
        <v/>
      </c>
      <c r="E227" s="215" t="str">
        <f aca="false">VLOOKUP($A227,'IT Accessibility'!$A$13:$E$37,5,0)&amp;""</f>
        <v/>
      </c>
      <c r="F227" s="212"/>
      <c r="G227" s="197" t="str">
        <f aca="false">VLOOKUP($A227,Questions!$A$2:$X$333,21,0)&amp;""</f>
        <v>Not scored</v>
      </c>
      <c r="H227" s="198"/>
      <c r="I227" s="199" t="str">
        <f aca="false">VLOOKUP($A227,Questions!$A$2:$X$333,23,0)&amp;""</f>
        <v/>
      </c>
      <c r="J227" s="198"/>
      <c r="K227" s="200" t="b">
        <f aca="false">FALSE()</f>
        <v>0</v>
      </c>
      <c r="L227" s="1"/>
    </row>
    <row r="228" s="176" customFormat="true" ht="67.15" hidden="false" customHeight="false" outlineLevel="0" collapsed="false">
      <c r="A228" s="35" t="str">
        <f aca="false">'IT Accessibility'!$A$21</f>
        <v>ITAC-02</v>
      </c>
      <c r="B228" s="36" t="str">
        <f aca="false">VLOOKUP($A228,'IT Accessibility'!$A$13:$E$37,2,0)&amp;""</f>
        <v>Solution Provider Accessibility Contact Title</v>
      </c>
      <c r="C228" s="203" t="str">
        <f aca="false">VLOOKUP($A228,'IT Accessibility'!$A$13:$E$37,3,0)&amp;""</f>
        <v>QGIS US user group</v>
      </c>
      <c r="D228" s="194" t="str">
        <f aca="false">IF(LEFT(VLOOKUP($A228,'IT Accessibility'!$A$13:$E$37,5,0),21)='Auto Responses'!$A$32,'Auto Responses'!$A$33,VLOOKUP($A228,'IT Accessibility'!$A$13:$E$37,4,0))&amp;""</f>
        <v/>
      </c>
      <c r="E228" s="215" t="str">
        <f aca="false">VLOOKUP($A228,'IT Accessibility'!$A$13:$E$37,5,0)&amp;""</f>
        <v/>
      </c>
      <c r="F228" s="212"/>
      <c r="G228" s="197" t="str">
        <f aca="false">VLOOKUP($A228,Questions!$A$2:$X$333,21,0)&amp;""</f>
        <v>Not scored</v>
      </c>
      <c r="H228" s="198"/>
      <c r="I228" s="199" t="str">
        <f aca="false">VLOOKUP($A228,Questions!$A$2:$X$333,23,0)&amp;""</f>
        <v/>
      </c>
      <c r="J228" s="198"/>
      <c r="K228" s="200" t="b">
        <f aca="false">FALSE()</f>
        <v>0</v>
      </c>
      <c r="L228" s="1"/>
    </row>
    <row r="229" s="176" customFormat="true" ht="67.15" hidden="false" customHeight="false" outlineLevel="0" collapsed="false">
      <c r="A229" s="35" t="str">
        <f aca="false">'IT Accessibility'!$A$22</f>
        <v>ITAC-03</v>
      </c>
      <c r="B229" s="36" t="str">
        <f aca="false">VLOOKUP($A229,'IT Accessibility'!$A$13:$E$37,2,0)&amp;""</f>
        <v>Solution Provider Accessibility Contact Email</v>
      </c>
      <c r="C229" s="203" t="str">
        <f aca="false">VLOOKUP($A229,'IT Accessibility'!$A$13:$E$37,3,0)&amp;""</f>
        <v/>
      </c>
      <c r="D229" s="194" t="str">
        <f aca="false">IF(LEFT(VLOOKUP($A229,'IT Accessibility'!$A$13:$E$37,5,0),21)='Auto Responses'!$A$32,'Auto Responses'!$A$33,VLOOKUP($A229,'IT Accessibility'!$A$13:$E$37,4,0))&amp;""</f>
        <v>https://www.qgis-us.org/</v>
      </c>
      <c r="E229" s="215" t="str">
        <f aca="false">VLOOKUP($A229,'IT Accessibility'!$A$13:$E$37,5,0)&amp;""</f>
        <v/>
      </c>
      <c r="F229" s="212"/>
      <c r="G229" s="197" t="str">
        <f aca="false">VLOOKUP($A229,Questions!$A$2:$X$333,21,0)&amp;""</f>
        <v>Not scored</v>
      </c>
      <c r="H229" s="198"/>
      <c r="I229" s="199" t="str">
        <f aca="false">VLOOKUP($A229,Questions!$A$2:$X$333,23,0)&amp;""</f>
        <v/>
      </c>
      <c r="J229" s="198"/>
      <c r="K229" s="200" t="b">
        <f aca="false">FALSE()</f>
        <v>0</v>
      </c>
      <c r="L229" s="1"/>
    </row>
    <row r="230" s="176" customFormat="true" ht="67.15" hidden="false" customHeight="false" outlineLevel="0" collapsed="false">
      <c r="A230" s="35" t="str">
        <f aca="false">'IT Accessibility'!$A$23</f>
        <v>ITAC-04</v>
      </c>
      <c r="B230" s="36" t="str">
        <f aca="false">VLOOKUP($A230,'IT Accessibility'!$A$13:$E$37,2,0)&amp;""</f>
        <v>Solution Provider Accessibility Contact Phone Number</v>
      </c>
      <c r="C230" s="203" t="str">
        <f aca="false">VLOOKUP($A230,'IT Accessibility'!$A$13:$E$37,3,0)&amp;""</f>
        <v/>
      </c>
      <c r="D230" s="194" t="str">
        <f aca="false">IF(LEFT(VLOOKUP($A230,'IT Accessibility'!$A$13:$E$37,5,0),21)='Auto Responses'!$A$32,'Auto Responses'!$A$33,VLOOKUP($A230,'IT Accessibility'!$A$13:$E$37,4,0))&amp;""</f>
        <v/>
      </c>
      <c r="E230" s="215" t="str">
        <f aca="false">VLOOKUP($A230,'IT Accessibility'!$A$13:$E$37,5,0)&amp;""</f>
        <v/>
      </c>
      <c r="F230" s="212"/>
      <c r="G230" s="197" t="str">
        <f aca="false">VLOOKUP($A230,Questions!$A$2:$X$333,21,0)&amp;""</f>
        <v>Not scored</v>
      </c>
      <c r="H230" s="198"/>
      <c r="I230" s="199" t="str">
        <f aca="false">VLOOKUP($A230,Questions!$A$2:$X$333,23,0)&amp;""</f>
        <v/>
      </c>
      <c r="J230" s="198"/>
      <c r="K230" s="200" t="b">
        <f aca="false">FALSE()</f>
        <v>0</v>
      </c>
      <c r="L230" s="1"/>
    </row>
    <row r="231" s="176" customFormat="true" ht="67.15" hidden="false" customHeight="false" outlineLevel="0" collapsed="false">
      <c r="A231" s="35" t="str">
        <f aca="false">'IT Accessibility'!$A$24</f>
        <v>ITAC-05</v>
      </c>
      <c r="B231" s="36" t="str">
        <f aca="false">VLOOKUP($A231,'IT Accessibility'!$A$13:$E$37,2,0)&amp;""</f>
        <v>Web Link to Accessibility Statement or VPAT</v>
      </c>
      <c r="C231" s="203" t="str">
        <f aca="false">VLOOKUP($A231,'IT Accessibility'!$A$13:$E$37,3,0)&amp;""</f>
        <v>https://www.qgis-us.org/2025/09/12/vpat/</v>
      </c>
      <c r="D231" s="194" t="str">
        <f aca="false">IF(LEFT(VLOOKUP($A231,'IT Accessibility'!$A$13:$E$37,5,0),21)='Auto Responses'!$A$32,'Auto Responses'!$A$33,VLOOKUP($A231,'IT Accessibility'!$A$13:$E$37,4,0))&amp;""</f>
        <v/>
      </c>
      <c r="E231" s="215" t="str">
        <f aca="false">VLOOKUP($A231,'IT Accessibility'!$A$13:$E$37,5,0)&amp;""</f>
        <v>VPAT can also be added as an attachment</v>
      </c>
      <c r="F231" s="212"/>
      <c r="G231" s="197" t="str">
        <f aca="false">VLOOKUP($A231,Questions!$A$2:$X$333,21,0)&amp;""</f>
        <v>Not scored</v>
      </c>
      <c r="H231" s="198"/>
      <c r="I231" s="199" t="str">
        <f aca="false">VLOOKUP($A231,Questions!$A$2:$X$333,23,0)&amp;""</f>
        <v/>
      </c>
      <c r="J231" s="198"/>
      <c r="K231" s="200" t="b">
        <f aca="false">FALSE()</f>
        <v>0</v>
      </c>
      <c r="L231" s="1"/>
    </row>
    <row r="232" s="176" customFormat="true" ht="264.15" hidden="false" customHeight="false" outlineLevel="0" collapsed="false">
      <c r="A232" s="35" t="str">
        <f aca="false">'IT Accessibility'!$A$25</f>
        <v>ITAC-06</v>
      </c>
      <c r="B232" s="36" t="str">
        <f aca="false">VLOOKUP($A232,'IT Accessibility'!$A$13:$E$37,2,0)&amp;""</f>
        <v>Has a VPAT or ACR been created or updated for the solution and version under consideration within the past 12 months?*</v>
      </c>
      <c r="C232" s="199" t="str">
        <f aca="false">VLOOKUP($A232,'IT Accessibility'!$A$13:$E$37,3,0)&amp;""</f>
        <v>yes</v>
      </c>
      <c r="D232" s="68" t="str">
        <f aca="false">IF(LEFT(VLOOKUP($A232,'IT Accessibility'!$A$13:$E$37,5,0),21)='Auto Responses'!$A$32,'Auto Responses'!$A$33,VLOOKUP($A232,'IT Accessibility'!$A$13:$E$37,4,0))&amp;""</f>
        <v>April 18th 2025
https://www.qgis-us.org/2025/09/12/vpat/</v>
      </c>
      <c r="E232" s="215" t="str">
        <f aca="false">VLOOKUP($A232,'IT Accessibility'!$A$13:$E$37,5,0)&amp;""</f>
        <v>State the date the VPAT was completed. Include this VPAT in your submission and/or link to its web location.</v>
      </c>
      <c r="F232" s="212"/>
      <c r="G232" s="197" t="str">
        <f aca="false">VLOOKUP($A232,Questions!$A$2:$X$333,21,0)&amp;""</f>
        <v>Yes</v>
      </c>
      <c r="H232" s="198"/>
      <c r="I232" s="199" t="str">
        <f aca="false">VLOOKUP($A232,Questions!$A$2:$X$333,23,0)&amp;""</f>
        <v>Critical Importance</v>
      </c>
      <c r="J232" s="198"/>
      <c r="K232" s="200" t="b">
        <f aca="false">FALSE()</f>
        <v>0</v>
      </c>
      <c r="L232" s="1"/>
    </row>
    <row r="233" s="176" customFormat="true" ht="67.15" hidden="false" customHeight="false" outlineLevel="0" collapsed="false">
      <c r="A233" s="35" t="str">
        <f aca="false">'IT Accessibility'!$A$26</f>
        <v>ITAC-07</v>
      </c>
      <c r="B233" s="36" t="str">
        <f aca="false">VLOOKUP($A233,'IT Accessibility'!$A$13:$E$37,2,0)&amp;""</f>
        <v>Will your company agree to meet your stated accessibility standard or WCAG 2.1 AA as part of your contractual agreement for the solution?*</v>
      </c>
      <c r="C233" s="199" t="str">
        <f aca="false">VLOOKUP($A233,'IT Accessibility'!$A$13:$E$37,3,0)&amp;""</f>
        <v>yes</v>
      </c>
      <c r="D233" s="68" t="str">
        <f aca="false">IF(LEFT(VLOOKUP($A233,'IT Accessibility'!$A$13:$E$37,5,0),21)='Auto Responses'!$A$32,'Auto Responses'!$A$33,VLOOKUP($A233,'IT Accessibility'!$A$13:$E$37,4,0))&amp;""</f>
        <v/>
      </c>
      <c r="E233" s="215" t="str">
        <f aca="false">VLOOKUP($A233,'IT Accessibility'!$A$13:$E$37,5,0)&amp;""</f>
        <v/>
      </c>
      <c r="F233" s="212"/>
      <c r="G233" s="197" t="str">
        <f aca="false">VLOOKUP($A233,Questions!$A$2:$X$333,21,0)&amp;""</f>
        <v>Yes</v>
      </c>
      <c r="H233" s="198"/>
      <c r="I233" s="199" t="str">
        <f aca="false">VLOOKUP($A233,Questions!$A$2:$X$333,23,0)&amp;""</f>
        <v>Critical Importance</v>
      </c>
      <c r="J233" s="198"/>
      <c r="K233" s="200" t="b">
        <f aca="false">FALSE()</f>
        <v>0</v>
      </c>
      <c r="L233" s="1"/>
    </row>
    <row r="234" s="176" customFormat="true" ht="329.85" hidden="false" customHeight="false" outlineLevel="0" collapsed="false">
      <c r="A234" s="35" t="str">
        <f aca="false">'IT Accessibility'!$A$27</f>
        <v>ITAC-08</v>
      </c>
      <c r="B234" s="36" t="str">
        <f aca="false">VLOOKUP($A234,'IT Accessibility'!$A$13:$E$37,2,0)&amp;""</f>
        <v>Does the solution substantially conform to WCAG 2.1 AA?*</v>
      </c>
      <c r="C234" s="199" t="str">
        <f aca="false">VLOOKUP($A234,'IT Accessibility'!$A$13:$E$37,3,0)&amp;""</f>
        <v>NO</v>
      </c>
      <c r="D234" s="68" t="str">
        <f aca="false">IF(LEFT(VLOOKUP($A234,'IT Accessibility'!$A$13:$E$37,5,0),21)='Auto Responses'!$A$32,'Auto Responses'!$A$33,VLOOKUP($A234,'IT Accessibility'!$A$13:$E$37,4,0))&amp;""</f>
        <v>NA/ QGIS is a desktop application, not a web application. We rely mostly on Qt’s upstream accessibility feature. </v>
      </c>
      <c r="E234" s="215" t="str">
        <f aca="false">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212"/>
      <c r="G234" s="197" t="str">
        <f aca="false">VLOOKUP($A234,Questions!$A$2:$X$333,21,0)&amp;""</f>
        <v>Yes</v>
      </c>
      <c r="H234" s="198"/>
      <c r="I234" s="199" t="str">
        <f aca="false">VLOOKUP($A234,Questions!$A$2:$X$333,23,0)&amp;""</f>
        <v>Critical Importance</v>
      </c>
      <c r="J234" s="198"/>
      <c r="K234" s="200" t="b">
        <f aca="false">FALSE()</f>
        <v>0</v>
      </c>
      <c r="L234" s="1"/>
    </row>
    <row r="235" s="176" customFormat="true" ht="165.65" hidden="false" customHeight="false" outlineLevel="0" collapsed="false">
      <c r="A235" s="35" t="str">
        <f aca="false">'IT Accessibility'!$A$28</f>
        <v>ITAC-09</v>
      </c>
      <c r="B235" s="36" t="str">
        <f aca="false">VLOOKUP($A235,'IT Accessibility'!$A$13:$E$37,2,0)&amp;""</f>
        <v>Do you have a documented and implemented process for reporting and tracking accessibility issues?*</v>
      </c>
      <c r="C235" s="199" t="str">
        <f aca="false">VLOOKUP($A235,'IT Accessibility'!$A$13:$E$37,3,0)&amp;""</f>
        <v>yes</v>
      </c>
      <c r="D235" s="68" t="str">
        <f aca="false">IF(LEFT(VLOOKUP($A235,'IT Accessibility'!$A$13:$E$37,5,0),21)='Auto Responses'!$A$32,'Auto Responses'!$A$33,VLOOKUP($A235,'IT Accessibility'!$A$13:$E$37,4,0))&amp;""</f>
        <v>we have public bug tracker</v>
      </c>
      <c r="E235" s="215" t="str">
        <f aca="false">VLOOKUP($A235,'IT Accessibility'!$A$13:$E$37,5,0)&amp;""</f>
        <v>Describe the process and any recent examples of fixes as a result of the process.</v>
      </c>
      <c r="F235" s="212"/>
      <c r="G235" s="197" t="str">
        <f aca="false">VLOOKUP($A235,Questions!$A$2:$X$333,21,0)&amp;""</f>
        <v>Yes</v>
      </c>
      <c r="H235" s="198"/>
      <c r="I235" s="199" t="str">
        <f aca="false">VLOOKUP($A235,Questions!$A$2:$X$333,23,0)&amp;""</f>
        <v>Critical Importance</v>
      </c>
      <c r="J235" s="198"/>
      <c r="K235" s="200" t="b">
        <f aca="false">FALSE()</f>
        <v>0</v>
      </c>
      <c r="L235" s="1"/>
    </row>
    <row r="236" s="176" customFormat="true" ht="182.05" hidden="false" customHeight="false" outlineLevel="0" collapsed="false">
      <c r="A236" s="35" t="str">
        <f aca="false">'IT Accessibility'!$A$29</f>
        <v>ITAC-10</v>
      </c>
      <c r="B236" s="36" t="str">
        <f aca="false">VLOOKUP($A236,'IT Accessibility'!$A$13:$E$37,2,0)&amp;""</f>
        <v>Do you have documentation to support the accessibility features of your solution?</v>
      </c>
      <c r="C236" s="199" t="str">
        <f aca="false">VLOOKUP($A236,'IT Accessibility'!$A$13:$E$37,3,0)&amp;""</f>
        <v>yes</v>
      </c>
      <c r="D236" s="68" t="str">
        <f aca="false">IF(LEFT(VLOOKUP($A236,'IT Accessibility'!$A$13:$E$37,5,0),21)='Auto Responses'!$A$32,'Auto Responses'!$A$33,VLOOKUP($A236,'IT Accessibility'!$A$13:$E$37,4,0))&amp;""</f>
        <v>docs.qgis.org </v>
      </c>
      <c r="E236" s="215" t="str">
        <f aca="false">VLOOKUP($A236,'IT Accessibility'!$A$13:$E$37,5,0)&amp;""</f>
        <v>Provide examples with links where possible.</v>
      </c>
      <c r="F236" s="212"/>
      <c r="G236" s="197" t="str">
        <f aca="false">VLOOKUP($A236,Questions!$A$2:$X$333,21,0)&amp;""</f>
        <v>Yes</v>
      </c>
      <c r="H236" s="198"/>
      <c r="I236" s="199" t="str">
        <f aca="false">VLOOKUP($A236,Questions!$A$2:$X$333,23,0)&amp;""</f>
        <v>Standard Importance</v>
      </c>
      <c r="J236" s="198"/>
      <c r="K236" s="200" t="b">
        <f aca="false">FALSE()</f>
        <v>0</v>
      </c>
      <c r="L236" s="1"/>
    </row>
    <row r="237" s="176" customFormat="true" ht="198.5" hidden="false" customHeight="false" outlineLevel="0" collapsed="false">
      <c r="A237" s="35" t="str">
        <f aca="false">'IT Accessibility'!$A$30</f>
        <v>ITAC-11</v>
      </c>
      <c r="B237" s="36" t="str">
        <f aca="false">VLOOKUP($A237,'IT Accessibility'!$A$13:$E$37,2,0)&amp;""</f>
        <v>Has a third-party expert conducted an audit of the most recent version of your solution?</v>
      </c>
      <c r="C237" s="199" t="str">
        <f aca="false">VLOOKUP($A237,'IT Accessibility'!$A$13:$E$37,3,0)&amp;""</f>
        <v>no</v>
      </c>
      <c r="D237" s="68" t="str">
        <f aca="false">IF(LEFT(VLOOKUP($A237,'IT Accessibility'!$A$13:$E$37,5,0),21)='Auto Responses'!$A$32,'Auto Responses'!$A$33,VLOOKUP($A237,'IT Accessibility'!$A$13:$E$37,4,0))&amp;""</f>
        <v>NA/ QGIS is a desktop application. </v>
      </c>
      <c r="E237" s="215" t="str">
        <f aca="false">VLOOKUP($A237,'IT Accessibility'!$A$13:$E$37,5,0)&amp;""</f>
        <v>Please provide plans (when and by whom) of any planned audit, or a rationale if no third-party audit is planned.</v>
      </c>
      <c r="F237" s="212"/>
      <c r="G237" s="197" t="str">
        <f aca="false">VLOOKUP($A237,Questions!$A$2:$X$333,21,0)&amp;""</f>
        <v>Yes</v>
      </c>
      <c r="H237" s="198"/>
      <c r="I237" s="199" t="str">
        <f aca="false">VLOOKUP($A237,Questions!$A$2:$X$333,23,0)&amp;""</f>
        <v>Standard Importance</v>
      </c>
      <c r="J237" s="198"/>
      <c r="K237" s="200" t="b">
        <f aca="false">FALSE()</f>
        <v>0</v>
      </c>
      <c r="L237" s="1"/>
    </row>
    <row r="238" s="1" customFormat="true" ht="67.15" hidden="false" customHeight="false" outlineLevel="0" collapsed="false">
      <c r="A238" s="35" t="str">
        <f aca="false">'IT Accessibility'!$A$31</f>
        <v>ITAC-12</v>
      </c>
      <c r="B238" s="36" t="str">
        <f aca="false">VLOOKUP($A238,'IT Accessibility'!$A$13:$E$37,2,0)&amp;""</f>
        <v>Do you have a documented and implemented process for verifying accessibility conformance?</v>
      </c>
      <c r="C238" s="199" t="str">
        <f aca="false">VLOOKUP($A238,'IT Accessibility'!$A$13:$E$37,3,0)&amp;""</f>
        <v>no</v>
      </c>
      <c r="D238" s="68" t="str">
        <f aca="false">IF(LEFT(VLOOKUP($A238,'IT Accessibility'!$A$13:$E$37,5,0),21)='Auto Responses'!$A$32,'Auto Responses'!$A$33,VLOOKUP($A238,'IT Accessibility'!$A$13:$E$37,4,0))&amp;""</f>
        <v>NA/ QGIS is a desktop application. </v>
      </c>
      <c r="E238" s="215" t="str">
        <f aca="false">VLOOKUP($A238,'IT Accessibility'!$A$13:$E$37,5,0)&amp;""</f>
        <v>Summarize how you ensure accessible solutions. Provide plans to develop documented processes to validate accessibility.</v>
      </c>
      <c r="F238" s="212"/>
      <c r="G238" s="197" t="str">
        <f aca="false">VLOOKUP($A238,Questions!$A$2:$X$333,21,0)&amp;""</f>
        <v>Yes</v>
      </c>
      <c r="H238" s="198"/>
      <c r="I238" s="199" t="str">
        <f aca="false">VLOOKUP($A238,Questions!$A$2:$X$333,23,0)&amp;""</f>
        <v>Standard Importance</v>
      </c>
      <c r="J238" s="198"/>
      <c r="K238" s="200" t="b">
        <f aca="false">FALSE()</f>
        <v>0</v>
      </c>
      <c r="M238" s="176"/>
      <c r="N238" s="176"/>
    </row>
    <row r="239" s="176" customFormat="true" ht="198.5" hidden="false" customHeight="false" outlineLevel="0" collapsed="false">
      <c r="A239" s="35" t="str">
        <f aca="false">'IT Accessibility'!$A$32</f>
        <v>ITAC-13</v>
      </c>
      <c r="B239" s="36" t="str">
        <f aca="false">VLOOKUP($A239,'IT Accessibility'!$A$13:$E$37,2,0)&amp;""</f>
        <v>Have you adopted a technical or legal standard of conformance for the solution?</v>
      </c>
      <c r="C239" s="199" t="str">
        <f aca="false">VLOOKUP($A239,'IT Accessibility'!$A$13:$E$37,3,0)&amp;""</f>
        <v>no</v>
      </c>
      <c r="D239" s="68" t="str">
        <f aca="false">IF(LEFT(VLOOKUP($A239,'IT Accessibility'!$A$13:$E$37,5,0),21)='Auto Responses'!$A$32,'Auto Responses'!$A$33,VLOOKUP($A239,'IT Accessibility'!$A$13:$E$37,4,0))&amp;""</f>
        <v>NA/ QGIS is a desktop application. </v>
      </c>
      <c r="E239" s="215" t="str">
        <f aca="false">VLOOKUP($A239,'IT Accessibility'!$A$13:$E$37,5,0)&amp;""</f>
        <v>Summarize your decision to not adopt a technical or legal standard of conformance for the solution.</v>
      </c>
      <c r="F239" s="212"/>
      <c r="G239" s="197" t="str">
        <f aca="false">VLOOKUP($A239,Questions!$A$2:$X$333,21,0)&amp;""</f>
        <v>Yes</v>
      </c>
      <c r="H239" s="198"/>
      <c r="I239" s="199" t="str">
        <f aca="false">VLOOKUP($A239,Questions!$A$2:$X$333,23,0)&amp;""</f>
        <v>Standard Importance</v>
      </c>
      <c r="J239" s="198"/>
      <c r="K239" s="200" t="b">
        <f aca="false">FALSE()</f>
        <v>0</v>
      </c>
      <c r="L239" s="1"/>
    </row>
    <row r="240" s="176" customFormat="true" ht="165.65" hidden="false" customHeight="false" outlineLevel="0" collapsed="false">
      <c r="A240" s="35" t="str">
        <f aca="false">'IT Accessibility'!$A$33</f>
        <v>ITAC-14</v>
      </c>
      <c r="B240" s="36" t="str">
        <f aca="false">VLOOKUP($A240,'IT Accessibility'!$A$13:$E$37,2,0)&amp;""</f>
        <v>Can you provide a current, detailed accessibility roadmap with delivery timelines?</v>
      </c>
      <c r="C240" s="199" t="str">
        <f aca="false">VLOOKUP($A240,'IT Accessibility'!$A$13:$E$37,3,0)&amp;""</f>
        <v>no</v>
      </c>
      <c r="D240" s="68" t="str">
        <f aca="false">IF(LEFT(VLOOKUP($A240,'IT Accessibility'!$A$13:$E$37,5,0),21)='Auto Responses'!$A$32,'Auto Responses'!$A$33,VLOOKUP($A240,'IT Accessibility'!$A$13:$E$37,4,0))&amp;""</f>
        <v/>
      </c>
      <c r="E240" s="215" t="str">
        <f aca="false">VLOOKUP($A240,'IT Accessibility'!$A$13:$E$37,5,0)&amp;""</f>
        <v>Please provide any plans to develop and share an accessibility roadmap in the future.</v>
      </c>
      <c r="F240" s="212"/>
      <c r="G240" s="197" t="str">
        <f aca="false">VLOOKUP($A240,Questions!$A$2:$X$333,21,0)&amp;""</f>
        <v>Yes</v>
      </c>
      <c r="H240" s="198"/>
      <c r="I240" s="199" t="str">
        <f aca="false">VLOOKUP($A240,Questions!$A$2:$X$333,23,0)&amp;""</f>
        <v>Standard Importance</v>
      </c>
      <c r="J240" s="198"/>
      <c r="K240" s="200" t="b">
        <f aca="false">FALSE()</f>
        <v>0</v>
      </c>
      <c r="L240" s="1"/>
    </row>
    <row r="241" s="176" customFormat="true" ht="379.1" hidden="false" customHeight="false" outlineLevel="0" collapsed="false">
      <c r="A241" s="35" t="str">
        <f aca="false">'IT Accessibility'!$A$34</f>
        <v>ITAC-15</v>
      </c>
      <c r="B241" s="36" t="str">
        <f aca="false">VLOOKUP($A241,'IT Accessibility'!$A$13:$E$37,2,0)&amp;""</f>
        <v>Do you expect your staff to maintain a current skill set in IT accessibility?</v>
      </c>
      <c r="C241" s="199" t="str">
        <f aca="false">VLOOKUP($A241,'IT Accessibility'!$A$13:$E$37,3,0)&amp;""</f>
        <v>no</v>
      </c>
      <c r="D241" s="68" t="str">
        <f aca="false">IF(LEFT(VLOOKUP($A241,'IT Accessibility'!$A$13:$E$37,5,0),21)='Auto Responses'!$A$32,'Auto Responses'!$A$33,VLOOKUP($A241,'IT Accessibility'!$A$13:$E$37,4,0))&amp;""</f>
        <v>QGIS is user driven. Contributors contracts freely developpers with their requirements. QGIS review process include high quality standards. </v>
      </c>
      <c r="E241" s="215" t="str">
        <f aca="false">VLOOKUP($A241,'IT Accessibility'!$A$13:$E$37,5,0)&amp;""</f>
        <v>Describe any plans to ensure appropriate and ongoing staff knowledge about accessibility.</v>
      </c>
      <c r="F241" s="212"/>
      <c r="G241" s="197" t="str">
        <f aca="false">VLOOKUP($A241,Questions!$A$2:$X$333,21,0)&amp;""</f>
        <v>Yes</v>
      </c>
      <c r="H241" s="198"/>
      <c r="I241" s="199" t="str">
        <f aca="false">VLOOKUP($A241,Questions!$A$2:$X$333,23,0)&amp;""</f>
        <v>Standard Importance</v>
      </c>
      <c r="J241" s="198"/>
      <c r="K241" s="200" t="b">
        <f aca="false">FALSE()</f>
        <v>0</v>
      </c>
      <c r="L241" s="1"/>
    </row>
    <row r="242" s="176" customFormat="true" ht="444.75" hidden="false" customHeight="false" outlineLevel="0" collapsed="false">
      <c r="A242" s="35" t="str">
        <f aca="false">'IT Accessibility'!$A$35</f>
        <v>ITAC-16</v>
      </c>
      <c r="B242" s="36" t="str">
        <f aca="false">VLOOKUP($A242,'IT Accessibility'!$A$13:$E$37,2,0)&amp;""</f>
        <v>Do you have documented processes and procedures for implementing accessibility into your development lifecycle?</v>
      </c>
      <c r="C242" s="199" t="str">
        <f aca="false">VLOOKUP($A242,'IT Accessibility'!$A$13:$E$37,3,0)&amp;""</f>
        <v>no</v>
      </c>
      <c r="D242" s="68" t="str">
        <f aca="false">IF(LEFT(VLOOKUP($A242,'IT Accessibility'!$A$13:$E$37,5,0),21)='Auto Responses'!$A$32,'Auto Responses'!$A$33,VLOOKUP($A242,'IT Accessibility'!$A$13:$E$37,4,0))&amp;""</f>
        <v/>
      </c>
      <c r="E242" s="215" t="str">
        <f aca="false">VLOOKUP($A242,'IT Accessibility'!$A$13:$E$37,5,0)&amp;""</f>
        <v>Describe any plans to update processes and procedures to better incorporate accessibility.</v>
      </c>
      <c r="F242" s="212"/>
      <c r="G242" s="197" t="str">
        <f aca="false">VLOOKUP($A242,Questions!$A$2:$X$333,21,0)&amp;""</f>
        <v>Yes</v>
      </c>
      <c r="H242" s="198"/>
      <c r="I242" s="199" t="str">
        <f aca="false">VLOOKUP($A242,Questions!$A$2:$X$333,23,0)&amp;""</f>
        <v>Standard Importance</v>
      </c>
      <c r="J242" s="198"/>
      <c r="K242" s="200" t="b">
        <f aca="false">FALSE()</f>
        <v>0</v>
      </c>
      <c r="L242" s="1"/>
    </row>
    <row r="243" s="176" customFormat="true" ht="67.15" hidden="false" customHeight="false" outlineLevel="0" collapsed="false">
      <c r="A243" s="35" t="str">
        <f aca="false">'IT Accessibility'!$A$36</f>
        <v>ITAC-17</v>
      </c>
      <c r="B243" s="36" t="str">
        <f aca="false">VLOOKUP($A243,'IT Accessibility'!$A$13:$E$37,2,0)&amp;""</f>
        <v>Can all functions of the application or service be performed using only the keyboard?</v>
      </c>
      <c r="C243" s="199" t="str">
        <f aca="false">VLOOKUP($A243,'IT Accessibility'!$A$13:$E$37,3,0)&amp;""</f>
        <v>yes</v>
      </c>
      <c r="D243" s="68" t="str">
        <f aca="false">IF(LEFT(VLOOKUP($A243,'IT Accessibility'!$A$13:$E$37,5,0),21)='Auto Responses'!$A$32,'Auto Responses'!$A$33,VLOOKUP($A243,'IT Accessibility'!$A$13:$E$37,4,0))&amp;""</f>
        <v>all shortcuts can be customized</v>
      </c>
      <c r="E243" s="215" t="str">
        <f aca="false">VLOOKUP($A243,'IT Accessibility'!$A$13:$E$37,5,0)&amp;""</f>
        <v>State when and on which platform this was verified.</v>
      </c>
      <c r="F243" s="212"/>
      <c r="G243" s="197" t="str">
        <f aca="false">VLOOKUP($A243,Questions!$A$2:$X$333,21,0)&amp;""</f>
        <v>Yes</v>
      </c>
      <c r="H243" s="198"/>
      <c r="I243" s="199" t="str">
        <f aca="false">VLOOKUP($A243,Questions!$A$2:$X$333,23,0)&amp;""</f>
        <v>Standard Importance</v>
      </c>
      <c r="J243" s="198"/>
      <c r="K243" s="200" t="b">
        <f aca="false">FALSE()</f>
        <v>0</v>
      </c>
      <c r="L243" s="1"/>
    </row>
    <row r="244" s="176" customFormat="true" ht="280.55" hidden="false" customHeight="false" outlineLevel="0" collapsed="false">
      <c r="A244" s="35" t="str">
        <f aca="false">'IT Accessibility'!$A$37</f>
        <v>ITAC-18</v>
      </c>
      <c r="B244" s="36" t="str">
        <f aca="false">VLOOKUP($A244,'IT Accessibility'!$A$13:$E$37,2,0)&amp;""</f>
        <v>Does your product rely on activating a special "accessibility mode," a "lite version," or using an alternate interface (including “overlay” or AI-based alternates)  for accessibility purposes?</v>
      </c>
      <c r="C244" s="199" t="str">
        <f aca="false">VLOOKUP($A244,'IT Accessibility'!$A$13:$E$37,3,0)&amp;""</f>
        <v>no</v>
      </c>
      <c r="D244" s="68" t="str">
        <f aca="false">IF(LEFT(VLOOKUP($A244,'IT Accessibility'!$A$13:$E$37,5,0),21)='Auto Responses'!$A$32,'Auto Responses'!$A$33,VLOOKUP($A244,'IT Accessibility'!$A$13:$E$37,4,0))&amp;""</f>
        <v>the GUI is fully costumizable. We have views for color vision deficiencies, and inherit from Qt’s accessibility features mostly</v>
      </c>
      <c r="E244" s="215" t="str">
        <f aca="false">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212"/>
      <c r="G244" s="197" t="str">
        <f aca="false">VLOOKUP($A244,Questions!$A$2:$X$333,21,0)&amp;""</f>
        <v>No</v>
      </c>
      <c r="H244" s="198"/>
      <c r="I244" s="199" t="str">
        <f aca="false">VLOOKUP($A244,Questions!$A$2:$X$333,23,0)&amp;""</f>
        <v>Standard Importance</v>
      </c>
      <c r="J244" s="198"/>
      <c r="K244" s="213" t="b">
        <f aca="false">FALSE()</f>
        <v>0</v>
      </c>
      <c r="L244" s="1"/>
    </row>
    <row r="245" s="176" customFormat="true" ht="17.9" hidden="false" customHeight="false" outlineLevel="0" collapsed="false">
      <c r="A245" s="31" t="str">
        <f aca="false">VLOOKUP(LEFT($A246,4),'Auto Responses'!$N$4:$O$38,2,0)&amp;""</f>
        <v> Consulting Services</v>
      </c>
      <c r="B245" s="42"/>
      <c r="C245" s="43"/>
      <c r="D245" s="43"/>
      <c r="E245" s="204"/>
      <c r="F245" s="192" t="s">
        <v>454</v>
      </c>
      <c r="G245" s="201" t="s">
        <v>449</v>
      </c>
      <c r="H245" s="201" t="s">
        <v>450</v>
      </c>
      <c r="I245" s="201" t="s">
        <v>451</v>
      </c>
      <c r="J245" s="201" t="s">
        <v>452</v>
      </c>
      <c r="K245" s="43"/>
      <c r="L245" s="1"/>
      <c r="M245" s="1"/>
      <c r="N245" s="1"/>
    </row>
    <row r="246" s="176" customFormat="true" ht="31.3" hidden="false" customHeight="false" outlineLevel="0" collapsed="false">
      <c r="A246" s="35" t="str">
        <f aca="false">'Case-Specific'!$A$23</f>
        <v>CONS-01</v>
      </c>
      <c r="B246" s="36" t="str">
        <f aca="false">VLOOKUP($A246,'Case-Specific'!$A$13:$E$85,2,0)&amp;""</f>
        <v>Will the consultant require access to the institution's network resources?*</v>
      </c>
      <c r="C246" s="199" t="str">
        <f aca="false">VLOOKUP($A246,'Case-Specific'!$A$13:$E$85,3,0)&amp;""</f>
        <v/>
      </c>
      <c r="D246" s="68" t="str">
        <f aca="false">IF(LEFT(VLOOKUP($A246,'Case-Specific'!$A$13:$E$85,5,0),21)='Auto Responses'!$A$32,'Auto Responses'!$A$33,VLOOKUP($A246,'Case-Specific'!$A$13:$E$85,4,0))&amp;""</f>
        <v>This question does not apply.</v>
      </c>
      <c r="E246" s="206" t="str">
        <f aca="false">VLOOKUP($A246,'Case-Specific'!$A$13:$E$85,5,0)&amp;""</f>
        <v>Based on the response to REQU-03 on the "START HERE" tab, this question does not apply to this product or service.</v>
      </c>
      <c r="F246" s="212"/>
      <c r="G246" s="197" t="str">
        <f aca="false">VLOOKUP($A246,Questions!$A$2:$X$333,21,0)&amp;""</f>
        <v>No</v>
      </c>
      <c r="H246" s="198"/>
      <c r="I246" s="199" t="str">
        <f aca="false">VLOOKUP($A246,Questions!$A$2:$X$333,23,0)&amp;""</f>
        <v>Critical Importance</v>
      </c>
      <c r="J246" s="198"/>
      <c r="K246" s="200" t="b">
        <f aca="false">FALSE()</f>
        <v>0</v>
      </c>
      <c r="L246" s="1"/>
    </row>
    <row r="247" s="176" customFormat="true" ht="31.3" hidden="false" customHeight="false" outlineLevel="0" collapsed="false">
      <c r="A247" s="35" t="str">
        <f aca="false">'Case-Specific'!$A$24</f>
        <v>CONS-02</v>
      </c>
      <c r="B247" s="36" t="str">
        <f aca="false">VLOOKUP($A247,'Case-Specific'!$A$13:$E$85,2,0)&amp;""</f>
        <v>Has the consultant received training on (sensitive, HIPAA, PCI, etc.) data handling?*</v>
      </c>
      <c r="C247" s="199" t="str">
        <f aca="false">VLOOKUP($A247,'Case-Specific'!$A$13:$E$85,3,0)&amp;""</f>
        <v/>
      </c>
      <c r="D247" s="68" t="str">
        <f aca="false">IF(LEFT(VLOOKUP($A247,'Case-Specific'!$A$13:$E$85,5,0),21)='Auto Responses'!$A$32,'Auto Responses'!$A$33,VLOOKUP($A247,'Case-Specific'!$A$13:$E$85,4,0))&amp;""</f>
        <v>This question does not apply.</v>
      </c>
      <c r="E247" s="206" t="str">
        <f aca="false">VLOOKUP($A247,'Case-Specific'!$A$13:$E$85,5,0)&amp;""</f>
        <v>Based on the response to REQU-03 on the "START HERE" tab, this question does not apply to this product or service.</v>
      </c>
      <c r="F247" s="212"/>
      <c r="G247" s="197" t="str">
        <f aca="false">VLOOKUP($A247,Questions!$A$2:$X$333,21,0)&amp;""</f>
        <v>Yes</v>
      </c>
      <c r="H247" s="198"/>
      <c r="I247" s="199" t="str">
        <f aca="false">VLOOKUP($A247,Questions!$A$2:$X$333,23,0)&amp;""</f>
        <v>Critical Importance</v>
      </c>
      <c r="J247" s="198"/>
      <c r="K247" s="200" t="b">
        <f aca="false">FALSE()</f>
        <v>0</v>
      </c>
      <c r="L247" s="1"/>
    </row>
    <row r="248" s="176" customFormat="true" ht="17.9" hidden="false" customHeight="false" outlineLevel="0" collapsed="false">
      <c r="A248" s="35" t="str">
        <f aca="false">'Case-Specific'!$A$25</f>
        <v>CONS-03</v>
      </c>
      <c r="B248" s="36" t="str">
        <f aca="false">VLOOKUP($A248,'Case-Specific'!$A$13:$E$85,2,0)&amp;""</f>
        <v>Is the data encrypted (at rest) while in the consultant's possession?*</v>
      </c>
      <c r="C248" s="199" t="str">
        <f aca="false">VLOOKUP($A248,'Case-Specific'!$A$13:$E$85,3,0)&amp;""</f>
        <v/>
      </c>
      <c r="D248" s="68" t="str">
        <f aca="false">IF(LEFT(VLOOKUP($A248,'Case-Specific'!$A$13:$E$85,5,0),21)='Auto Responses'!$A$32,'Auto Responses'!$A$33,VLOOKUP($A248,'Case-Specific'!$A$13:$E$85,4,0))&amp;""</f>
        <v>This question does not apply.</v>
      </c>
      <c r="E248" s="206" t="str">
        <f aca="false">VLOOKUP($A248,'Case-Specific'!$A$13:$E$85,5,0)&amp;""</f>
        <v>Based on the response to REQU-03 on the "START HERE" tab, this question does not apply to this product or service.</v>
      </c>
      <c r="F248" s="212"/>
      <c r="G248" s="197" t="str">
        <f aca="false">VLOOKUP($A248,Questions!$A$2:$X$333,21,0)&amp;""</f>
        <v>Yes</v>
      </c>
      <c r="H248" s="198"/>
      <c r="I248" s="199" t="str">
        <f aca="false">VLOOKUP($A248,Questions!$A$2:$X$333,23,0)&amp;""</f>
        <v>Critical Importance</v>
      </c>
      <c r="J248" s="198"/>
      <c r="K248" s="200" t="b">
        <f aca="false">FALSE()</f>
        <v>0</v>
      </c>
      <c r="L248" s="1"/>
    </row>
    <row r="249" s="1" customFormat="true" ht="17.9" hidden="false" customHeight="false" outlineLevel="0" collapsed="false">
      <c r="A249" s="35" t="str">
        <f aca="false">'Case-Specific'!A25</f>
        <v>CONS-03</v>
      </c>
      <c r="B249" s="36" t="str">
        <f aca="false">VLOOKUP($A249,'Case-Specific'!$A$13:$E$85,2,0)&amp;""</f>
        <v>Is the data encrypted (at rest) while in the consultant's possession?*</v>
      </c>
      <c r="C249" s="199" t="str">
        <f aca="false">VLOOKUP($A249,'Case-Specific'!$A$13:$E$85,3,0)&amp;""</f>
        <v/>
      </c>
      <c r="D249" s="68" t="str">
        <f aca="false">IF(LEFT(VLOOKUP($A249,'Case-Specific'!$A$13:$E$85,5,0),21)='Auto Responses'!$A$32,'Auto Responses'!$A$33,VLOOKUP($A249,'Case-Specific'!$A$13:$E$85,4,0))&amp;""</f>
        <v>This question does not apply.</v>
      </c>
      <c r="E249" s="206" t="str">
        <f aca="false">VLOOKUP($A249,'Case-Specific'!$A$13:$E$85,5,0)&amp;""</f>
        <v>Based on the response to REQU-03 on the "START HERE" tab, this question does not apply to this product or service.</v>
      </c>
      <c r="F249" s="212"/>
      <c r="G249" s="197" t="str">
        <f aca="false">VLOOKUP($A249,Questions!$A$2:$X$333,21,0)&amp;""</f>
        <v>Yes</v>
      </c>
      <c r="H249" s="198"/>
      <c r="I249" s="199" t="str">
        <f aca="false">VLOOKUP($A249,Questions!$A$2:$X$333,23,0)&amp;""</f>
        <v>Critical Importance</v>
      </c>
      <c r="J249" s="198"/>
      <c r="K249" s="200" t="b">
        <f aca="false">FALSE()</f>
        <v>0</v>
      </c>
      <c r="M249" s="176"/>
      <c r="N249" s="176"/>
    </row>
    <row r="250" s="176" customFormat="true" ht="17.9" hidden="false" customHeight="false" outlineLevel="0" collapsed="false">
      <c r="A250" s="35" t="str">
        <f aca="false">'Case-Specific'!A26</f>
        <v>CONS-04</v>
      </c>
      <c r="B250" s="36" t="str">
        <f aca="false">VLOOKUP($A250,'Case-Specific'!$A$13:$E$85,2,0)&amp;""</f>
        <v>Can access be restricted based on source IP address?*</v>
      </c>
      <c r="C250" s="199" t="str">
        <f aca="false">VLOOKUP($A250,'Case-Specific'!$A$13:$E$85,3,0)&amp;""</f>
        <v/>
      </c>
      <c r="D250" s="68" t="str">
        <f aca="false">IF(LEFT(VLOOKUP($A250,'Case-Specific'!$A$13:$E$85,5,0),21)='Auto Responses'!$A$32,'Auto Responses'!$A$33,VLOOKUP($A250,'Case-Specific'!$A$13:$E$85,4,0))&amp;""</f>
        <v>This question does not apply.</v>
      </c>
      <c r="E250" s="206" t="str">
        <f aca="false">VLOOKUP($A250,'Case-Specific'!$A$13:$E$85,5,0)&amp;""</f>
        <v>Based on the response to REQU-03 on the "START HERE" tab, this question does not apply to this product or service.</v>
      </c>
      <c r="F250" s="212"/>
      <c r="G250" s="197" t="str">
        <f aca="false">VLOOKUP($A250,Questions!$A$2:$X$333,21,0)&amp;""</f>
        <v>Yes</v>
      </c>
      <c r="H250" s="198"/>
      <c r="I250" s="199" t="str">
        <f aca="false">VLOOKUP($A250,Questions!$A$2:$X$333,23,0)&amp;""</f>
        <v>Critical Importance</v>
      </c>
      <c r="J250" s="198"/>
      <c r="K250" s="200" t="b">
        <f aca="false">FALSE()</f>
        <v>0</v>
      </c>
      <c r="L250" s="1"/>
    </row>
    <row r="251" s="176" customFormat="true" ht="17.9" hidden="false" customHeight="false" outlineLevel="0" collapsed="false">
      <c r="A251" s="35" t="str">
        <f aca="false">'Case-Specific'!A27</f>
        <v>CONS-05</v>
      </c>
      <c r="B251" s="36" t="str">
        <f aca="false">VLOOKUP($A251,'Case-Specific'!$A$13:$E$85,2,0)&amp;""</f>
        <v>Will the consulting take place on-premises?</v>
      </c>
      <c r="C251" s="199" t="str">
        <f aca="false">VLOOKUP($A251,'Case-Specific'!$A$13:$E$85,3,0)&amp;""</f>
        <v/>
      </c>
      <c r="D251" s="68" t="str">
        <f aca="false">IF(LEFT(VLOOKUP($A251,'Case-Specific'!$A$13:$E$85,5,0),21)='Auto Responses'!$A$32,'Auto Responses'!$A$33,VLOOKUP($A251,'Case-Specific'!$A$13:$E$85,4,0))&amp;""</f>
        <v>This question does not apply.</v>
      </c>
      <c r="E251" s="206" t="str">
        <f aca="false">VLOOKUP($A251,'Case-Specific'!$A$13:$E$85,5,0)&amp;""</f>
        <v>Based on the response to REQU-03 on the "START HERE" tab, this question does not apply to this product or service.</v>
      </c>
      <c r="F251" s="212"/>
      <c r="G251" s="197" t="str">
        <f aca="false">VLOOKUP($A251,Questions!$A$2:$X$333,21,0)&amp;""</f>
        <v>No</v>
      </c>
      <c r="H251" s="198"/>
      <c r="I251" s="199" t="str">
        <f aca="false">VLOOKUP($A251,Questions!$A$2:$X$333,23,0)&amp;""</f>
        <v>Standard Importance</v>
      </c>
      <c r="J251" s="198"/>
      <c r="K251" s="200" t="b">
        <f aca="false">FALSE()</f>
        <v>0</v>
      </c>
      <c r="L251" s="1"/>
    </row>
    <row r="252" s="176" customFormat="true" ht="31.3" hidden="false" customHeight="false" outlineLevel="0" collapsed="false">
      <c r="A252" s="35" t="str">
        <f aca="false">'Case-Specific'!A28</f>
        <v>CONS-06</v>
      </c>
      <c r="B252" s="36" t="str">
        <f aca="false">VLOOKUP($A252,'Case-Specific'!$A$13:$E$85,2,0)&amp;""</f>
        <v>Will the consultant require access to hardware in the institution's data centers?</v>
      </c>
      <c r="C252" s="199" t="str">
        <f aca="false">VLOOKUP($A252,'Case-Specific'!$A$13:$E$85,3,0)&amp;""</f>
        <v/>
      </c>
      <c r="D252" s="68" t="str">
        <f aca="false">IF(LEFT(VLOOKUP($A252,'Case-Specific'!$A$13:$E$85,5,0),21)='Auto Responses'!$A$32,'Auto Responses'!$A$33,VLOOKUP($A252,'Case-Specific'!$A$13:$E$85,4,0))&amp;""</f>
        <v>This question does not apply.</v>
      </c>
      <c r="E252" s="206" t="str">
        <f aca="false">VLOOKUP($A252,'Case-Specific'!$A$13:$E$85,5,0)&amp;""</f>
        <v>Based on the response to REQU-03 on the "START HERE" tab, this question does not apply to this product or service.</v>
      </c>
      <c r="F252" s="212"/>
      <c r="G252" s="197" t="str">
        <f aca="false">VLOOKUP($A252,Questions!$A$2:$X$333,21,0)&amp;""</f>
        <v>No</v>
      </c>
      <c r="H252" s="198"/>
      <c r="I252" s="199" t="str">
        <f aca="false">VLOOKUP($A252,Questions!$A$2:$X$333,23,0)&amp;""</f>
        <v>Standard Importance</v>
      </c>
      <c r="J252" s="198"/>
      <c r="K252" s="200" t="b">
        <f aca="false">FALSE()</f>
        <v>0</v>
      </c>
      <c r="L252" s="1"/>
    </row>
    <row r="253" s="176" customFormat="true" ht="31.3" hidden="false" customHeight="false" outlineLevel="0" collapsed="false">
      <c r="A253" s="35" t="str">
        <f aca="false">'Case-Specific'!A29</f>
        <v>CONS-07</v>
      </c>
      <c r="B253" s="36" t="str">
        <f aca="false">VLOOKUP($A253,'Case-Specific'!$A$13:$E$85,2,0)&amp;""</f>
        <v>Will the consultant require an account within the institution's domain (@*.edu)?</v>
      </c>
      <c r="C253" s="199" t="str">
        <f aca="false">VLOOKUP($A253,'Case-Specific'!$A$13:$E$85,3,0)&amp;""</f>
        <v/>
      </c>
      <c r="D253" s="68" t="str">
        <f aca="false">IF(LEFT(VLOOKUP($A253,'Case-Specific'!$A$13:$E$85,5,0),21)='Auto Responses'!$A$32,'Auto Responses'!$A$33,VLOOKUP($A253,'Case-Specific'!$A$13:$E$85,4,0))&amp;""</f>
        <v>This question does not apply.</v>
      </c>
      <c r="E253" s="206" t="str">
        <f aca="false">VLOOKUP($A253,'Case-Specific'!$A$13:$E$85,5,0)&amp;""</f>
        <v>Based on the response to REQU-03 on the "START HERE" tab, this question does not apply to this product or service.</v>
      </c>
      <c r="F253" s="212"/>
      <c r="G253" s="197" t="str">
        <f aca="false">VLOOKUP($A253,Questions!$A$2:$X$333,21,0)&amp;""</f>
        <v>No</v>
      </c>
      <c r="H253" s="198"/>
      <c r="I253" s="199" t="str">
        <f aca="false">VLOOKUP($A253,Questions!$A$2:$X$333,23,0)&amp;""</f>
        <v>Standard Importance</v>
      </c>
      <c r="J253" s="198"/>
      <c r="K253" s="200" t="b">
        <f aca="false">FALSE()</f>
        <v>0</v>
      </c>
      <c r="L253" s="1"/>
    </row>
    <row r="254" s="176" customFormat="true" ht="17.9" hidden="false" customHeight="false" outlineLevel="0" collapsed="false">
      <c r="A254" s="35" t="str">
        <f aca="false">'Case-Specific'!A30</f>
        <v>CONS-08</v>
      </c>
      <c r="B254" s="36" t="str">
        <f aca="false">VLOOKUP($A254,'Case-Specific'!$A$13:$E$85,2,0)&amp;""</f>
        <v>Will any data be transferred to the consultant's possession?</v>
      </c>
      <c r="C254" s="199" t="str">
        <f aca="false">VLOOKUP($A254,'Case-Specific'!$A$13:$E$85,3,0)&amp;""</f>
        <v/>
      </c>
      <c r="D254" s="68" t="str">
        <f aca="false">IF(LEFT(VLOOKUP($A254,'Case-Specific'!$A$13:$E$85,5,0),21)='Auto Responses'!$A$32,'Auto Responses'!$A$33,VLOOKUP($A254,'Case-Specific'!$A$13:$E$85,4,0))&amp;""</f>
        <v>This question does not apply.</v>
      </c>
      <c r="E254" s="206" t="str">
        <f aca="false">VLOOKUP($A254,'Case-Specific'!$A$13:$E$85,5,0)&amp;""</f>
        <v>Based on the response to REQU-03 on the "START HERE" tab, this question does not apply to this product or service.</v>
      </c>
      <c r="F254" s="212"/>
      <c r="G254" s="197" t="str">
        <f aca="false">VLOOKUP($A254,Questions!$A$2:$X$333,21,0)&amp;""</f>
        <v>No</v>
      </c>
      <c r="H254" s="198"/>
      <c r="I254" s="199" t="str">
        <f aca="false">VLOOKUP($A254,Questions!$A$2:$X$333,23,0)&amp;""</f>
        <v>Standard Importance</v>
      </c>
      <c r="J254" s="198"/>
      <c r="K254" s="200" t="b">
        <f aca="false">FALSE()</f>
        <v>0</v>
      </c>
      <c r="L254" s="1"/>
    </row>
    <row r="255" s="176" customFormat="true" ht="31.3" hidden="false" customHeight="false" outlineLevel="0" collapsed="false">
      <c r="A255" s="35" t="str">
        <f aca="false">'Case-Specific'!A31</f>
        <v>CONS-09</v>
      </c>
      <c r="B255" s="36" t="str">
        <f aca="false">VLOOKUP($A255,'Case-Specific'!$A$13:$E$85,2,0)&amp;""</f>
        <v>Will the consultant need remote access to the institution's network or systems?</v>
      </c>
      <c r="C255" s="199" t="str">
        <f aca="false">VLOOKUP($A255,'Case-Specific'!$A$13:$E$85,3,0)&amp;""</f>
        <v/>
      </c>
      <c r="D255" s="68" t="str">
        <f aca="false">IF(LEFT(VLOOKUP($A255,'Case-Specific'!$A$13:$E$85,5,0),21)='Auto Responses'!$A$32,'Auto Responses'!$A$33,VLOOKUP($A255,'Case-Specific'!$A$13:$E$85,4,0))&amp;""</f>
        <v>This question does not apply.</v>
      </c>
      <c r="E255" s="206" t="str">
        <f aca="false">VLOOKUP($A255,'Case-Specific'!$A$13:$E$85,5,0)&amp;""</f>
        <v>Based on the response to REQU-03 on the "START HERE" tab, this question does not apply to this product or service.</v>
      </c>
      <c r="F255" s="212"/>
      <c r="G255" s="197" t="str">
        <f aca="false">VLOOKUP($A255,Questions!$A$2:$X$333,21,0)&amp;""</f>
        <v>No</v>
      </c>
      <c r="H255" s="198"/>
      <c r="I255" s="199" t="str">
        <f aca="false">VLOOKUP($A255,Questions!$A$2:$X$333,23,0)&amp;""</f>
        <v>Standard Importance</v>
      </c>
      <c r="J255" s="198"/>
      <c r="K255" s="200" t="b">
        <f aca="false">FALSE()</f>
        <v>0</v>
      </c>
      <c r="L255" s="1"/>
    </row>
    <row r="256" s="176" customFormat="true" ht="17.9" hidden="false" customHeight="false" outlineLevel="0" collapsed="false">
      <c r="A256" s="31" t="str">
        <f aca="false">VLOOKUP(LEFT($A257,4),'Auto Responses'!$N$4:$O$38,2,0)&amp;""</f>
        <v>HIPAA Compliance </v>
      </c>
      <c r="B256" s="42"/>
      <c r="C256" s="43"/>
      <c r="D256" s="43"/>
      <c r="E256" s="204"/>
      <c r="F256" s="192" t="s">
        <v>454</v>
      </c>
      <c r="G256" s="201" t="s">
        <v>449</v>
      </c>
      <c r="H256" s="201" t="s">
        <v>450</v>
      </c>
      <c r="I256" s="201" t="s">
        <v>451</v>
      </c>
      <c r="J256" s="201" t="s">
        <v>452</v>
      </c>
      <c r="K256" s="43"/>
      <c r="L256" s="1"/>
      <c r="M256" s="1"/>
      <c r="N256" s="1"/>
    </row>
    <row r="257" s="176" customFormat="true" ht="99.95" hidden="false" customHeight="false" outlineLevel="0" collapsed="false">
      <c r="A257" s="35" t="str">
        <f aca="false">'Case-Specific'!A33</f>
        <v>HIPA-01</v>
      </c>
      <c r="B257" s="36" t="str">
        <f aca="false">VLOOKUP($A257,'Case-Specific'!$A$13:$E$85,2,0)&amp;""</f>
        <v>Do your workforce members receive regular training related to the Health Insurance Portability and Accountability Act (HIPAA) Privacy and Security Rules and the HITECH Act?*</v>
      </c>
      <c r="C257" s="199" t="str">
        <f aca="false">VLOOKUP($A257,'Case-Specific'!$A$13:$E$85,3,0)&amp;""</f>
        <v/>
      </c>
      <c r="D257" s="68" t="str">
        <f aca="false">IF(LEFT(VLOOKUP($A257,'Case-Specific'!$A$13:$E$85,5,0),21)='Auto Responses'!$A$32,'Auto Responses'!$A$33,VLOOKUP($A257,'Case-Specific'!$A$13:$E$85,4,0))&amp;""</f>
        <v>This question does not apply.</v>
      </c>
      <c r="E257" s="206" t="str">
        <f aca="false">VLOOKUP($A257,'Case-Specific'!$A$13:$E$85,5,0)&amp;""</f>
        <v>Based on the response to REQU-05 on the "START HERE" tab, this question does not apply to this product or service.</v>
      </c>
      <c r="F257" s="212"/>
      <c r="G257" s="197" t="str">
        <f aca="false">VLOOKUP($A257,Questions!$A$2:$X$333,21,0)&amp;""</f>
        <v>Yes</v>
      </c>
      <c r="H257" s="198"/>
      <c r="I257" s="199" t="str">
        <f aca="false">VLOOKUP($A257,Questions!$A$2:$X$333,23,0)&amp;""</f>
        <v>Critical Importance</v>
      </c>
      <c r="J257" s="198"/>
      <c r="K257" s="200" t="b">
        <f aca="false">FALSE()</f>
        <v>0</v>
      </c>
      <c r="L257" s="1"/>
    </row>
    <row r="258" s="176" customFormat="true" ht="99.95" hidden="false" customHeight="false" outlineLevel="0" collapsed="false">
      <c r="A258" s="35" t="str">
        <f aca="false">'Case-Specific'!A34</f>
        <v>HIPA-02</v>
      </c>
      <c r="B258" s="36" t="str">
        <f aca="false">VLOOKUP($A258,'Case-Specific'!$A$13:$E$85,2,0)&amp;""</f>
        <v>Have you identified areas of risk?*</v>
      </c>
      <c r="C258" s="199" t="str">
        <f aca="false">VLOOKUP($A258,'Case-Specific'!$A$13:$E$85,3,0)&amp;""</f>
        <v/>
      </c>
      <c r="D258" s="68" t="str">
        <f aca="false">IF(LEFT(VLOOKUP($A258,'Case-Specific'!$A$13:$E$85,5,0),21)='Auto Responses'!$A$32,'Auto Responses'!$A$33,VLOOKUP($A258,'Case-Specific'!$A$13:$E$85,4,0))&amp;""</f>
        <v>This question does not apply.</v>
      </c>
      <c r="E258" s="206" t="str">
        <f aca="false">VLOOKUP($A258,'Case-Specific'!$A$13:$E$85,5,0)&amp;""</f>
        <v>Based on the response to REQU-05 on the "START HERE" tab, this question does not apply to this product or service.</v>
      </c>
      <c r="F258" s="212"/>
      <c r="G258" s="197" t="str">
        <f aca="false">VLOOKUP($A258,Questions!$A$2:$X$333,21,0)&amp;""</f>
        <v>Yes</v>
      </c>
      <c r="H258" s="198"/>
      <c r="I258" s="199" t="str">
        <f aca="false">VLOOKUP($A258,Questions!$A$2:$X$333,23,0)&amp;""</f>
        <v>Critical Importance</v>
      </c>
      <c r="J258" s="198"/>
      <c r="K258" s="200" t="b">
        <f aca="false">FALSE()</f>
        <v>0</v>
      </c>
      <c r="L258" s="1"/>
    </row>
    <row r="259" s="176" customFormat="true" ht="99.95" hidden="false" customHeight="false" outlineLevel="0" collapsed="false">
      <c r="A259" s="35" t="str">
        <f aca="false">'Case-Specific'!A35</f>
        <v>HIPA-03</v>
      </c>
      <c r="B259" s="36" t="str">
        <f aca="false">VLOOKUP($A259,'Case-Specific'!$A$13:$E$85,2,0)&amp;""</f>
        <v>Have the relevant policies/plans been tested?*</v>
      </c>
      <c r="C259" s="199" t="str">
        <f aca="false">VLOOKUP($A259,'Case-Specific'!$A$13:$E$85,3,0)&amp;""</f>
        <v/>
      </c>
      <c r="D259" s="68" t="str">
        <f aca="false">IF(LEFT(VLOOKUP($A259,'Case-Specific'!$A$13:$E$85,5,0),21)='Auto Responses'!$A$32,'Auto Responses'!$A$33,VLOOKUP($A259,'Case-Specific'!$A$13:$E$85,4,0))&amp;""</f>
        <v>This question does not apply.</v>
      </c>
      <c r="E259" s="206" t="str">
        <f aca="false">VLOOKUP($A259,'Case-Specific'!$A$13:$E$85,5,0)&amp;""</f>
        <v>Based on the response to REQU-05 on the "START HERE" tab, this question does not apply to this product or service.</v>
      </c>
      <c r="F259" s="212"/>
      <c r="G259" s="197" t="str">
        <f aca="false">VLOOKUP($A259,Questions!$A$2:$X$333,21,0)&amp;""</f>
        <v>Yes</v>
      </c>
      <c r="H259" s="198"/>
      <c r="I259" s="199" t="str">
        <f aca="false">VLOOKUP($A259,Questions!$A$2:$X$333,23,0)&amp;""</f>
        <v>Critical Importance</v>
      </c>
      <c r="J259" s="198"/>
      <c r="K259" s="200" t="b">
        <f aca="false">FALSE()</f>
        <v>0</v>
      </c>
      <c r="L259" s="1"/>
    </row>
    <row r="260" s="176" customFormat="true" ht="99.95" hidden="false" customHeight="false" outlineLevel="0" collapsed="false">
      <c r="A260" s="35" t="str">
        <f aca="false">'Case-Specific'!A36</f>
        <v>HIPA-04</v>
      </c>
      <c r="B260" s="36" t="str">
        <f aca="false">VLOOKUP($A260,'Case-Specific'!$A$13:$E$85,2,0)&amp;""</f>
        <v>Have you entered into a Business Associate Agreements with all subcontractors who may have access to protected health information (PHI)?*</v>
      </c>
      <c r="C260" s="199" t="str">
        <f aca="false">VLOOKUP($A260,'Case-Specific'!$A$13:$E$85,3,0)&amp;""</f>
        <v/>
      </c>
      <c r="D260" s="68" t="str">
        <f aca="false">IF(LEFT(VLOOKUP($A260,'Case-Specific'!$A$13:$E$85,5,0),21)='Auto Responses'!$A$32,'Auto Responses'!$A$33,VLOOKUP($A260,'Case-Specific'!$A$13:$E$85,4,0))&amp;""</f>
        <v>This question does not apply.</v>
      </c>
      <c r="E260" s="206" t="str">
        <f aca="false">VLOOKUP($A260,'Case-Specific'!$A$13:$E$85,5,0)&amp;""</f>
        <v>Based on the response to REQU-05 on the "START HERE" tab, this question does not apply to this product or service.</v>
      </c>
      <c r="F260" s="212"/>
      <c r="G260" s="197" t="str">
        <f aca="false">VLOOKUP($A260,Questions!$A$2:$X$333,21,0)&amp;""</f>
        <v>Yes</v>
      </c>
      <c r="H260" s="198"/>
      <c r="I260" s="199" t="str">
        <f aca="false">VLOOKUP($A260,Questions!$A$2:$X$333,23,0)&amp;""</f>
        <v>Critical Importance</v>
      </c>
      <c r="J260" s="198"/>
      <c r="K260" s="200" t="b">
        <f aca="false">FALSE()</f>
        <v>0</v>
      </c>
      <c r="L260" s="1"/>
    </row>
    <row r="261" s="176" customFormat="true" ht="99.95" hidden="false" customHeight="false" outlineLevel="0" collapsed="false">
      <c r="A261" s="35" t="str">
        <f aca="false">'Case-Specific'!A37</f>
        <v>HIPA-05</v>
      </c>
      <c r="B261" s="36" t="str">
        <f aca="false">VLOOKUP($A261,'Case-Specific'!$A$13:$E$85,2,0)&amp;""</f>
        <v>Do you monitor or receive information regarding changes in HIPAA regulations?</v>
      </c>
      <c r="C261" s="199" t="str">
        <f aca="false">VLOOKUP($A261,'Case-Specific'!$A$13:$E$85,3,0)&amp;""</f>
        <v/>
      </c>
      <c r="D261" s="68" t="str">
        <f aca="false">IF(LEFT(VLOOKUP($A261,'Case-Specific'!$A$13:$E$85,5,0),21)='Auto Responses'!$A$32,'Auto Responses'!$A$33,VLOOKUP($A261,'Case-Specific'!$A$13:$E$85,4,0))&amp;""</f>
        <v>This question does not apply.</v>
      </c>
      <c r="E261" s="206" t="str">
        <f aca="false">VLOOKUP($A261,'Case-Specific'!$A$13:$E$85,5,0)&amp;""</f>
        <v>Based on the response to REQU-05 on the "START HERE" tab, this question does not apply to this product or service.</v>
      </c>
      <c r="F261" s="212"/>
      <c r="G261" s="197" t="str">
        <f aca="false">VLOOKUP($A261,Questions!$A$2:$X$333,21,0)&amp;""</f>
        <v>Yes</v>
      </c>
      <c r="H261" s="198"/>
      <c r="I261" s="199" t="str">
        <f aca="false">VLOOKUP($A261,Questions!$A$2:$X$333,23,0)&amp;""</f>
        <v>Standard Importance</v>
      </c>
      <c r="J261" s="198"/>
      <c r="K261" s="200" t="b">
        <f aca="false">FALSE()</f>
        <v>0</v>
      </c>
      <c r="L261" s="1"/>
    </row>
    <row r="262" s="176" customFormat="true" ht="99.95" hidden="false" customHeight="false" outlineLevel="0" collapsed="false">
      <c r="A262" s="35" t="str">
        <f aca="false">'Case-Specific'!A38</f>
        <v>HIPA-06</v>
      </c>
      <c r="B262" s="36" t="str">
        <f aca="false">VLOOKUP($A262,'Case-Specific'!$A$13:$E$85,2,0)&amp;""</f>
        <v>Has your organization designated HIPAA Privacy and Security officers as required by the rules?</v>
      </c>
      <c r="C262" s="199" t="str">
        <f aca="false">VLOOKUP($A262,'Case-Specific'!$A$13:$E$85,3,0)&amp;""</f>
        <v/>
      </c>
      <c r="D262" s="68" t="str">
        <f aca="false">IF(LEFT(VLOOKUP($A262,'Case-Specific'!$A$13:$E$85,5,0),21)='Auto Responses'!$A$32,'Auto Responses'!$A$33,VLOOKUP($A262,'Case-Specific'!$A$13:$E$85,4,0))&amp;""</f>
        <v>This question does not apply.</v>
      </c>
      <c r="E262" s="206" t="str">
        <f aca="false">VLOOKUP($A262,'Case-Specific'!$A$13:$E$85,5,0)&amp;""</f>
        <v>Based on the response to REQU-05 on the "START HERE" tab, this question does not apply to this product or service.</v>
      </c>
      <c r="F262" s="212"/>
      <c r="G262" s="197" t="str">
        <f aca="false">VLOOKUP($A262,Questions!$A$2:$X$333,21,0)&amp;""</f>
        <v>Yes</v>
      </c>
      <c r="H262" s="198"/>
      <c r="I262" s="199" t="str">
        <f aca="false">VLOOKUP($A262,Questions!$A$2:$X$333,23,0)&amp;""</f>
        <v>Standard Importance</v>
      </c>
      <c r="J262" s="198"/>
      <c r="K262" s="200" t="b">
        <f aca="false">FALSE()</f>
        <v>0</v>
      </c>
      <c r="L262" s="1"/>
    </row>
    <row r="263" s="176" customFormat="true" ht="99.95" hidden="false" customHeight="false" outlineLevel="0" collapsed="false">
      <c r="A263" s="35" t="str">
        <f aca="false">'Case-Specific'!A39</f>
        <v>HIPA-07</v>
      </c>
      <c r="B263" s="36" t="str">
        <f aca="false">VLOOKUP($A263,'Case-Specific'!$A$13:$E$85,2,0)&amp;""</f>
        <v>Do you comply with the requirements of the Health Information Technology for Economic and Clinical Health Act (HITECH)?</v>
      </c>
      <c r="C263" s="199" t="str">
        <f aca="false">VLOOKUP($A263,'Case-Specific'!$A$13:$E$85,3,0)&amp;""</f>
        <v/>
      </c>
      <c r="D263" s="68" t="str">
        <f aca="false">IF(LEFT(VLOOKUP($A263,'Case-Specific'!$A$13:$E$85,5,0),21)='Auto Responses'!$A$32,'Auto Responses'!$A$33,VLOOKUP($A263,'Case-Specific'!$A$13:$E$85,4,0))&amp;""</f>
        <v>This question does not apply.</v>
      </c>
      <c r="E263" s="206" t="str">
        <f aca="false">VLOOKUP($A263,'Case-Specific'!$A$13:$E$85,5,0)&amp;""</f>
        <v>Based on the response to REQU-05 on the "START HERE" tab, this question does not apply to this product or service.</v>
      </c>
      <c r="F263" s="212"/>
      <c r="G263" s="197" t="str">
        <f aca="false">VLOOKUP($A263,Questions!$A$2:$X$333,21,0)&amp;""</f>
        <v>Yes</v>
      </c>
      <c r="H263" s="198"/>
      <c r="I263" s="199" t="str">
        <f aca="false">VLOOKUP($A263,Questions!$A$2:$X$333,23,0)&amp;""</f>
        <v>Standard Importance</v>
      </c>
      <c r="J263" s="198"/>
      <c r="K263" s="200" t="b">
        <f aca="false">FALSE()</f>
        <v>0</v>
      </c>
      <c r="L263" s="1"/>
    </row>
    <row r="264" s="176" customFormat="true" ht="99.95" hidden="false" customHeight="false" outlineLevel="0" collapsed="false">
      <c r="A264" s="35" t="str">
        <f aca="false">'Case-Specific'!A40</f>
        <v>HIPA-08</v>
      </c>
      <c r="B264" s="36" t="str">
        <f aca="false">VLOOKUP($A264,'Case-Specific'!$A$13:$E$85,2,0)&amp;""</f>
        <v>Have you conducted a risk analysis as required under the HIPAA Security Rule?</v>
      </c>
      <c r="C264" s="199" t="str">
        <f aca="false">VLOOKUP($A264,'Case-Specific'!$A$13:$E$85,3,0)&amp;""</f>
        <v/>
      </c>
      <c r="D264" s="68" t="str">
        <f aca="false">IF(LEFT(VLOOKUP($A264,'Case-Specific'!$A$13:$E$85,5,0),21)='Auto Responses'!$A$32,'Auto Responses'!$A$33,VLOOKUP($A264,'Case-Specific'!$A$13:$E$85,4,0))&amp;""</f>
        <v>This question does not apply.</v>
      </c>
      <c r="E264" s="206" t="str">
        <f aca="false">VLOOKUP($A264,'Case-Specific'!$A$13:$E$85,5,0)&amp;""</f>
        <v>Based on the response to REQU-05 on the "START HERE" tab, this question does not apply to this product or service.</v>
      </c>
      <c r="F264" s="212"/>
      <c r="G264" s="197" t="str">
        <f aca="false">VLOOKUP($A264,Questions!$A$2:$X$333,21,0)&amp;""</f>
        <v>Yes</v>
      </c>
      <c r="H264" s="198"/>
      <c r="I264" s="199" t="str">
        <f aca="false">VLOOKUP($A264,Questions!$A$2:$X$333,23,0)&amp;""</f>
        <v>Standard Importance</v>
      </c>
      <c r="J264" s="198"/>
      <c r="K264" s="200" t="b">
        <f aca="false">FALSE()</f>
        <v>0</v>
      </c>
      <c r="L264" s="1"/>
    </row>
    <row r="265" s="176" customFormat="true" ht="99.95" hidden="false" customHeight="false" outlineLevel="0" collapsed="false">
      <c r="A265" s="35" t="str">
        <f aca="false">'Case-Specific'!A41</f>
        <v>HIPA-09</v>
      </c>
      <c r="B265" s="36" t="str">
        <f aca="false">VLOOKUP($A265,'Case-Specific'!$A$13:$E$85,2,0)&amp;""</f>
        <v>Have you taken actions to mitigate the identified risks?</v>
      </c>
      <c r="C265" s="199" t="str">
        <f aca="false">VLOOKUP($A265,'Case-Specific'!$A$13:$E$85,3,0)&amp;""</f>
        <v/>
      </c>
      <c r="D265" s="68" t="str">
        <f aca="false">IF(LEFT(VLOOKUP($A265,'Case-Specific'!$A$13:$E$85,5,0),21)='Auto Responses'!$A$32,'Auto Responses'!$A$33,VLOOKUP($A265,'Case-Specific'!$A$13:$E$85,4,0))&amp;""</f>
        <v>This question does not apply.</v>
      </c>
      <c r="E265" s="206" t="str">
        <f aca="false">VLOOKUP($A265,'Case-Specific'!$A$13:$E$85,5,0)&amp;""</f>
        <v>Based on the response to REQU-05 on the "START HERE" tab, this question does not apply to this product or service.</v>
      </c>
      <c r="F265" s="212"/>
      <c r="G265" s="197" t="str">
        <f aca="false">VLOOKUP($A265,Questions!$A$2:$X$333,21,0)&amp;""</f>
        <v>Yes</v>
      </c>
      <c r="H265" s="198"/>
      <c r="I265" s="199" t="str">
        <f aca="false">VLOOKUP($A265,Questions!$A$2:$X$333,23,0)&amp;""</f>
        <v>Standard Importance</v>
      </c>
      <c r="J265" s="198"/>
      <c r="K265" s="200" t="b">
        <f aca="false">FALSE()</f>
        <v>0</v>
      </c>
      <c r="L265" s="1"/>
    </row>
    <row r="266" s="176" customFormat="true" ht="99.95" hidden="false" customHeight="false" outlineLevel="0" collapsed="false">
      <c r="A266" s="35" t="str">
        <f aca="false">'Case-Specific'!A42</f>
        <v>HIPA-10</v>
      </c>
      <c r="B266" s="36" t="str">
        <f aca="false">VLOOKUP($A266,'Case-Specific'!$A$13:$E$85,2,0)&amp;""</f>
        <v>Does your application require user and system administrator password changes at a frequency no greater than 90 days?</v>
      </c>
      <c r="C266" s="199" t="str">
        <f aca="false">VLOOKUP($A266,'Case-Specific'!$A$13:$E$85,3,0)&amp;""</f>
        <v/>
      </c>
      <c r="D266" s="68" t="str">
        <f aca="false">IF(LEFT(VLOOKUP($A266,'Case-Specific'!$A$13:$E$85,5,0),21)='Auto Responses'!$A$32,'Auto Responses'!$A$33,VLOOKUP($A266,'Case-Specific'!$A$13:$E$85,4,0))&amp;""</f>
        <v>This question does not apply.</v>
      </c>
      <c r="E266" s="206" t="str">
        <f aca="false">VLOOKUP($A266,'Case-Specific'!$A$13:$E$85,5,0)&amp;""</f>
        <v>Based on the response to REQU-05 on the "START HERE" tab, this question does not apply to this product or service.</v>
      </c>
      <c r="F266" s="212"/>
      <c r="G266" s="197" t="str">
        <f aca="false">VLOOKUP($A266,Questions!$A$2:$X$333,21,0)&amp;""</f>
        <v>Yes</v>
      </c>
      <c r="H266" s="198"/>
      <c r="I266" s="199" t="str">
        <f aca="false">VLOOKUP($A266,Questions!$A$2:$X$333,23,0)&amp;""</f>
        <v>Standard Importance</v>
      </c>
      <c r="J266" s="198"/>
      <c r="K266" s="200" t="b">
        <f aca="false">FALSE()</f>
        <v>0</v>
      </c>
      <c r="L266" s="1"/>
    </row>
    <row r="267" s="176" customFormat="true" ht="99.95" hidden="false" customHeight="false" outlineLevel="0" collapsed="false">
      <c r="A267" s="35" t="str">
        <f aca="false">'Case-Specific'!A43</f>
        <v>HIPA-11</v>
      </c>
      <c r="B267" s="36" t="str">
        <f aca="false">VLOOKUP($A267,'Case-Specific'!$A$13:$E$85,2,0)&amp;""</f>
        <v>Does your application require users to set their own password after an administrator reset or on first use of the account?</v>
      </c>
      <c r="C267" s="199" t="str">
        <f aca="false">VLOOKUP($A267,'Case-Specific'!$A$13:$E$85,3,0)&amp;""</f>
        <v/>
      </c>
      <c r="D267" s="68" t="str">
        <f aca="false">IF(LEFT(VLOOKUP($A267,'Case-Specific'!$A$13:$E$85,5,0),21)='Auto Responses'!$A$32,'Auto Responses'!$A$33,VLOOKUP($A267,'Case-Specific'!$A$13:$E$85,4,0))&amp;""</f>
        <v>This question does not apply.</v>
      </c>
      <c r="E267" s="206" t="str">
        <f aca="false">VLOOKUP($A267,'Case-Specific'!$A$13:$E$85,5,0)&amp;""</f>
        <v>Based on the response to REQU-05 on the "START HERE" tab, this question does not apply to this product or service.</v>
      </c>
      <c r="F267" s="212"/>
      <c r="G267" s="197" t="str">
        <f aca="false">VLOOKUP($A267,Questions!$A$2:$X$333,21,0)&amp;""</f>
        <v>Yes</v>
      </c>
      <c r="H267" s="198"/>
      <c r="I267" s="199" t="str">
        <f aca="false">VLOOKUP($A267,Questions!$A$2:$X$333,23,0)&amp;""</f>
        <v>Standard Importance</v>
      </c>
      <c r="J267" s="198"/>
      <c r="K267" s="200" t="b">
        <f aca="false">FALSE()</f>
        <v>0</v>
      </c>
      <c r="L267" s="1"/>
    </row>
    <row r="268" s="176" customFormat="true" ht="99.95" hidden="false" customHeight="false" outlineLevel="0" collapsed="false">
      <c r="A268" s="35" t="str">
        <f aca="false">'Case-Specific'!A44</f>
        <v>HIPA-12</v>
      </c>
      <c r="B268" s="36" t="str">
        <f aca="false">VLOOKUP($A268,'Case-Specific'!$A$13:$E$85,2,0)&amp;""</f>
        <v>Does your application lock out an account after a number of failed login attempts?</v>
      </c>
      <c r="C268" s="199" t="str">
        <f aca="false">VLOOKUP($A268,'Case-Specific'!$A$13:$E$85,3,0)&amp;""</f>
        <v/>
      </c>
      <c r="D268" s="68" t="str">
        <f aca="false">IF(LEFT(VLOOKUP($A268,'Case-Specific'!$A$13:$E$85,5,0),21)='Auto Responses'!$A$32,'Auto Responses'!$A$33,VLOOKUP($A268,'Case-Specific'!$A$13:$E$85,4,0))&amp;""</f>
        <v>This question does not apply.</v>
      </c>
      <c r="E268" s="206" t="str">
        <f aca="false">VLOOKUP($A268,'Case-Specific'!$A$13:$E$85,5,0)&amp;""</f>
        <v>Based on the response to REQU-05 on the "START HERE" tab, this question does not apply to this product or service.</v>
      </c>
      <c r="F268" s="212"/>
      <c r="G268" s="197" t="str">
        <f aca="false">VLOOKUP($A268,Questions!$A$2:$X$333,21,0)&amp;""</f>
        <v>Yes</v>
      </c>
      <c r="H268" s="198"/>
      <c r="I268" s="199" t="str">
        <f aca="false">VLOOKUP($A268,Questions!$A$2:$X$333,23,0)&amp;""</f>
        <v>Standard Importance</v>
      </c>
      <c r="J268" s="198"/>
      <c r="K268" s="200" t="b">
        <f aca="false">FALSE()</f>
        <v>0</v>
      </c>
      <c r="L268" s="1"/>
    </row>
    <row r="269" s="176" customFormat="true" ht="99.95" hidden="false" customHeight="false" outlineLevel="0" collapsed="false">
      <c r="A269" s="35" t="str">
        <f aca="false">'Case-Specific'!A45</f>
        <v>HIPA-13</v>
      </c>
      <c r="B269" s="36" t="str">
        <f aca="false">VLOOKUP($A269,'Case-Specific'!$A$13:$E$85,2,0)&amp;""</f>
        <v>Does your application automatically lock or log-out an account after a period of inactivity?</v>
      </c>
      <c r="C269" s="199" t="str">
        <f aca="false">VLOOKUP($A269,'Case-Specific'!$A$13:$E$85,3,0)&amp;""</f>
        <v/>
      </c>
      <c r="D269" s="68" t="str">
        <f aca="false">IF(LEFT(VLOOKUP($A269,'Case-Specific'!$A$13:$E$85,5,0),21)='Auto Responses'!$A$32,'Auto Responses'!$A$33,VLOOKUP($A269,'Case-Specific'!$A$13:$E$85,4,0))&amp;""</f>
        <v>This question does not apply.</v>
      </c>
      <c r="E269" s="206" t="str">
        <f aca="false">VLOOKUP($A269,'Case-Specific'!$A$13:$E$85,5,0)&amp;""</f>
        <v>Based on the response to REQU-05 on the "START HERE" tab, this question does not apply to this product or service.</v>
      </c>
      <c r="F269" s="212"/>
      <c r="G269" s="197" t="str">
        <f aca="false">VLOOKUP($A269,Questions!$A$2:$X$333,21,0)&amp;""</f>
        <v>Yes</v>
      </c>
      <c r="H269" s="198"/>
      <c r="I269" s="199" t="str">
        <f aca="false">VLOOKUP($A269,Questions!$A$2:$X$333,23,0)&amp;""</f>
        <v>Standard Importance</v>
      </c>
      <c r="J269" s="198"/>
      <c r="K269" s="200" t="b">
        <f aca="false">FALSE()</f>
        <v>0</v>
      </c>
      <c r="L269" s="1"/>
    </row>
    <row r="270" s="176" customFormat="true" ht="99.95" hidden="false" customHeight="false" outlineLevel="0" collapsed="false">
      <c r="A270" s="35" t="str">
        <f aca="false">'Case-Specific'!A46</f>
        <v>HIPA-14</v>
      </c>
      <c r="B270" s="36" t="str">
        <f aca="false">VLOOKUP($A270,'Case-Specific'!$A$13:$E$85,2,0)&amp;""</f>
        <v>Are passwords visible in plain text, whether when stored or entered, including service level accounts (i.e., database accounts, etc.)?</v>
      </c>
      <c r="C270" s="199" t="str">
        <f aca="false">VLOOKUP($A270,'Case-Specific'!$A$13:$E$85,3,0)&amp;""</f>
        <v/>
      </c>
      <c r="D270" s="68" t="str">
        <f aca="false">IF(LEFT(VLOOKUP($A270,'Case-Specific'!$A$13:$E$85,5,0),21)='Auto Responses'!$A$32,'Auto Responses'!$A$33,VLOOKUP($A270,'Case-Specific'!$A$13:$E$85,4,0))&amp;""</f>
        <v>This question does not apply.</v>
      </c>
      <c r="E270" s="206" t="str">
        <f aca="false">VLOOKUP($A270,'Case-Specific'!$A$13:$E$85,5,0)&amp;""</f>
        <v>Based on the response to REQU-05 on the "START HERE" tab, this question does not apply to this product or service.</v>
      </c>
      <c r="F270" s="212"/>
      <c r="G270" s="197" t="str">
        <f aca="false">VLOOKUP($A270,Questions!$A$2:$X$333,21,0)&amp;""</f>
        <v>No</v>
      </c>
      <c r="H270" s="198"/>
      <c r="I270" s="199" t="str">
        <f aca="false">VLOOKUP($A270,Questions!$A$2:$X$333,23,0)&amp;""</f>
        <v>Standard Importance</v>
      </c>
      <c r="J270" s="198"/>
      <c r="K270" s="200" t="b">
        <f aca="false">FALSE()</f>
        <v>0</v>
      </c>
      <c r="L270" s="1"/>
    </row>
    <row r="271" s="176" customFormat="true" ht="99.95" hidden="false" customHeight="false" outlineLevel="0" collapsed="false">
      <c r="A271" s="35" t="str">
        <f aca="false">'Case-Specific'!A47</f>
        <v>HIPA-15</v>
      </c>
      <c r="B271" s="36" t="str">
        <f aca="false">VLOOKUP($A271,'Case-Specific'!$A$13:$E$85,2,0)&amp;""</f>
        <v>If the application is institution-hosted, can all service level and administrative account passwords be changed by the institution?</v>
      </c>
      <c r="C271" s="199" t="str">
        <f aca="false">VLOOKUP($A271,'Case-Specific'!$A$13:$E$85,3,0)&amp;""</f>
        <v/>
      </c>
      <c r="D271" s="68" t="str">
        <f aca="false">IF(LEFT(VLOOKUP($A271,'Case-Specific'!$A$13:$E$85,5,0),21)='Auto Responses'!$A$32,'Auto Responses'!$A$33,VLOOKUP($A271,'Case-Specific'!$A$13:$E$85,4,0))&amp;""</f>
        <v>This question does not apply.</v>
      </c>
      <c r="E271" s="206" t="str">
        <f aca="false">VLOOKUP($A271,'Case-Specific'!$A$13:$E$85,5,0)&amp;""</f>
        <v>Based on the response to REQU-05 on the "START HERE" tab, this question does not apply to this product or service.</v>
      </c>
      <c r="F271" s="212"/>
      <c r="G271" s="197" t="str">
        <f aca="false">VLOOKUP($A271,Questions!$A$2:$X$333,21,0)&amp;""</f>
        <v>Yes</v>
      </c>
      <c r="H271" s="198"/>
      <c r="I271" s="199" t="str">
        <f aca="false">VLOOKUP($A271,Questions!$A$2:$X$333,23,0)&amp;""</f>
        <v>Standard Importance</v>
      </c>
      <c r="J271" s="198"/>
      <c r="K271" s="200" t="b">
        <f aca="false">FALSE()</f>
        <v>0</v>
      </c>
      <c r="L271" s="1"/>
    </row>
    <row r="272" s="176" customFormat="true" ht="99.95" hidden="false" customHeight="false" outlineLevel="0" collapsed="false">
      <c r="A272" s="35" t="str">
        <f aca="false">'Case-Specific'!A48</f>
        <v>HIPA-16</v>
      </c>
      <c r="B272" s="36" t="str">
        <f aca="false">VLOOKUP($A272,'Case-Specific'!$A$13:$E$85,2,0)&amp;""</f>
        <v>Does your application provide the ability to define user access levels?</v>
      </c>
      <c r="C272" s="199" t="str">
        <f aca="false">VLOOKUP($A272,'Case-Specific'!$A$13:$E$85,3,0)&amp;""</f>
        <v/>
      </c>
      <c r="D272" s="68" t="str">
        <f aca="false">IF(LEFT(VLOOKUP($A272,'Case-Specific'!$A$13:$E$85,5,0),21)='Auto Responses'!$A$32,'Auto Responses'!$A$33,VLOOKUP($A272,'Case-Specific'!$A$13:$E$85,4,0))&amp;""</f>
        <v>This question does not apply.</v>
      </c>
      <c r="E272" s="206" t="str">
        <f aca="false">VLOOKUP($A272,'Case-Specific'!$A$13:$E$85,5,0)&amp;""</f>
        <v>Based on the response to REQU-05 on the "START HERE" tab, this question does not apply to this product or service.</v>
      </c>
      <c r="F272" s="212"/>
      <c r="G272" s="197" t="str">
        <f aca="false">VLOOKUP($A272,Questions!$A$2:$X$333,21,0)&amp;""</f>
        <v>Yes</v>
      </c>
      <c r="H272" s="198"/>
      <c r="I272" s="199" t="str">
        <f aca="false">VLOOKUP($A272,Questions!$A$2:$X$333,23,0)&amp;""</f>
        <v>Standard Importance</v>
      </c>
      <c r="J272" s="198"/>
      <c r="K272" s="200" t="b">
        <f aca="false">FALSE()</f>
        <v>0</v>
      </c>
      <c r="L272" s="1"/>
    </row>
    <row r="273" s="176" customFormat="true" ht="99.95" hidden="false" customHeight="false" outlineLevel="0" collapsed="false">
      <c r="A273" s="35" t="str">
        <f aca="false">'Case-Specific'!A49</f>
        <v>HIPA-17</v>
      </c>
      <c r="B273" s="36" t="str">
        <f aca="false">VLOOKUP($A273,'Case-Specific'!$A$13:$E$85,2,0)&amp;""</f>
        <v>Does your application support varying levels of access to administrative tasks defined individually per user?</v>
      </c>
      <c r="C273" s="199" t="str">
        <f aca="false">VLOOKUP($A273,'Case-Specific'!$A$13:$E$85,3,0)&amp;""</f>
        <v/>
      </c>
      <c r="D273" s="68" t="str">
        <f aca="false">IF(LEFT(VLOOKUP($A273,'Case-Specific'!$A$13:$E$85,5,0),21)='Auto Responses'!$A$32,'Auto Responses'!$A$33,VLOOKUP($A273,'Case-Specific'!$A$13:$E$85,4,0))&amp;""</f>
        <v>This question does not apply.</v>
      </c>
      <c r="E273" s="206" t="str">
        <f aca="false">VLOOKUP($A273,'Case-Specific'!$A$13:$E$85,5,0)&amp;""</f>
        <v>Based on the response to REQU-05 on the "START HERE" tab, this question does not apply to this product or service.</v>
      </c>
      <c r="F273" s="212"/>
      <c r="G273" s="197" t="str">
        <f aca="false">VLOOKUP($A273,Questions!$A$2:$X$333,21,0)&amp;""</f>
        <v>Yes</v>
      </c>
      <c r="H273" s="198"/>
      <c r="I273" s="199" t="str">
        <f aca="false">VLOOKUP($A273,Questions!$A$2:$X$333,23,0)&amp;""</f>
        <v>Standard Importance</v>
      </c>
      <c r="J273" s="198"/>
      <c r="K273" s="200" t="b">
        <f aca="false">FALSE()</f>
        <v>0</v>
      </c>
      <c r="L273" s="1"/>
    </row>
    <row r="274" s="176" customFormat="true" ht="99.95" hidden="false" customHeight="false" outlineLevel="0" collapsed="false">
      <c r="A274" s="35" t="str">
        <f aca="false">'Case-Specific'!A50</f>
        <v>HIPA-18</v>
      </c>
      <c r="B274" s="36" t="str">
        <f aca="false">VLOOKUP($A274,'Case-Specific'!$A$13:$E$85,2,0)&amp;""</f>
        <v>Does your application support varying levels of access to records based on user ID?</v>
      </c>
      <c r="C274" s="199" t="str">
        <f aca="false">VLOOKUP($A274,'Case-Specific'!$A$13:$E$85,3,0)&amp;""</f>
        <v/>
      </c>
      <c r="D274" s="68" t="str">
        <f aca="false">IF(LEFT(VLOOKUP($A274,'Case-Specific'!$A$13:$E$85,5,0),21)='Auto Responses'!$A$32,'Auto Responses'!$A$33,VLOOKUP($A274,'Case-Specific'!$A$13:$E$85,4,0))&amp;""</f>
        <v>This question does not apply.</v>
      </c>
      <c r="E274" s="206" t="str">
        <f aca="false">VLOOKUP($A274,'Case-Specific'!$A$13:$E$85,5,0)&amp;""</f>
        <v>Based on the response to REQU-05 on the "START HERE" tab, this question does not apply to this product or service.</v>
      </c>
      <c r="F274" s="212"/>
      <c r="G274" s="197" t="str">
        <f aca="false">VLOOKUP($A274,Questions!$A$2:$X$333,21,0)&amp;""</f>
        <v>No</v>
      </c>
      <c r="H274" s="198"/>
      <c r="I274" s="199" t="str">
        <f aca="false">VLOOKUP($A274,Questions!$A$2:$X$333,23,0)&amp;""</f>
        <v>Standard Importance</v>
      </c>
      <c r="J274" s="198"/>
      <c r="K274" s="200" t="b">
        <f aca="false">FALSE()</f>
        <v>0</v>
      </c>
      <c r="L274" s="1"/>
    </row>
    <row r="275" s="176" customFormat="true" ht="99.95" hidden="false" customHeight="false" outlineLevel="0" collapsed="false">
      <c r="A275" s="35" t="str">
        <f aca="false">'Case-Specific'!A51</f>
        <v>HIPA-19</v>
      </c>
      <c r="B275" s="36" t="str">
        <f aca="false">VLOOKUP($A275,'Case-Specific'!$A$13:$E$85,2,0)&amp;""</f>
        <v>Is there a limit to the number of groups to which a user can be assigned?</v>
      </c>
      <c r="C275" s="199" t="str">
        <f aca="false">VLOOKUP($A275,'Case-Specific'!$A$13:$E$85,3,0)&amp;""</f>
        <v/>
      </c>
      <c r="D275" s="68" t="str">
        <f aca="false">IF(LEFT(VLOOKUP($A275,'Case-Specific'!$A$13:$E$85,5,0),21)='Auto Responses'!$A$32,'Auto Responses'!$A$33,VLOOKUP($A275,'Case-Specific'!$A$13:$E$85,4,0))&amp;""</f>
        <v>This question does not apply.</v>
      </c>
      <c r="E275" s="206" t="str">
        <f aca="false">VLOOKUP($A275,'Case-Specific'!$A$13:$E$85,5,0)&amp;""</f>
        <v>Based on the response to REQU-05 on the "START HERE" tab, this question does not apply to this product or service.</v>
      </c>
      <c r="F275" s="212"/>
      <c r="G275" s="197" t="str">
        <f aca="false">VLOOKUP($A275,Questions!$A$2:$X$333,21,0)&amp;""</f>
        <v>Yes</v>
      </c>
      <c r="H275" s="198"/>
      <c r="I275" s="199" t="str">
        <f aca="false">VLOOKUP($A275,Questions!$A$2:$X$333,23,0)&amp;""</f>
        <v>Standard Importance</v>
      </c>
      <c r="J275" s="198"/>
      <c r="K275" s="200" t="b">
        <f aca="false">FALSE()</f>
        <v>0</v>
      </c>
      <c r="L275" s="1"/>
    </row>
    <row r="276" s="176" customFormat="true" ht="99.95" hidden="false" customHeight="false" outlineLevel="0" collapsed="false">
      <c r="A276" s="35" t="str">
        <f aca="false">'Case-Specific'!A52</f>
        <v>HIPA-20</v>
      </c>
      <c r="B276" s="36" t="str">
        <f aca="false">VLOOKUP($A276,'Case-Specific'!$A$13:$E$85,2,0)&amp;""</f>
        <v>Do accounts used for solution provider-supplied remote support abide by the same authentication policies and access logging as the rest of the system?</v>
      </c>
      <c r="C276" s="199" t="str">
        <f aca="false">VLOOKUP($A276,'Case-Specific'!$A$13:$E$85,3,0)&amp;""</f>
        <v/>
      </c>
      <c r="D276" s="68" t="str">
        <f aca="false">IF(LEFT(VLOOKUP($A276,'Case-Specific'!$A$13:$E$85,5,0),21)='Auto Responses'!$A$32,'Auto Responses'!$A$33,VLOOKUP($A276,'Case-Specific'!$A$13:$E$85,4,0))&amp;""</f>
        <v>This question does not apply.</v>
      </c>
      <c r="E276" s="206" t="str">
        <f aca="false">VLOOKUP($A276,'Case-Specific'!$A$13:$E$85,5,0)&amp;""</f>
        <v>Based on the response to REQU-05 on the "START HERE" tab, this question does not apply to this product or service.</v>
      </c>
      <c r="F276" s="212"/>
      <c r="G276" s="197" t="str">
        <f aca="false">VLOOKUP($A276,Questions!$A$2:$X$333,21,0)&amp;""</f>
        <v>Yes</v>
      </c>
      <c r="H276" s="198"/>
      <c r="I276" s="199" t="str">
        <f aca="false">VLOOKUP($A276,Questions!$A$2:$X$333,23,0)&amp;""</f>
        <v>Standard Importance</v>
      </c>
      <c r="J276" s="198"/>
      <c r="K276" s="200" t="b">
        <f aca="false">FALSE()</f>
        <v>0</v>
      </c>
      <c r="L276" s="1"/>
    </row>
    <row r="277" s="176" customFormat="true" ht="99.95" hidden="false" customHeight="false" outlineLevel="0" collapsed="false">
      <c r="A277" s="35" t="str">
        <f aca="false">'Case-Specific'!A53</f>
        <v>HIPA-21</v>
      </c>
      <c r="B277" s="36" t="str">
        <f aca="false">VLOOKUP($A277,'Case-Specific'!$A$13:$E$85,2,0)&amp;""</f>
        <v>Does the application log record access including specific user, date/time of access, and originating IP or device?</v>
      </c>
      <c r="C277" s="199" t="str">
        <f aca="false">VLOOKUP($A277,'Case-Specific'!$A$13:$E$85,3,0)&amp;""</f>
        <v/>
      </c>
      <c r="D277" s="68" t="str">
        <f aca="false">IF(LEFT(VLOOKUP($A277,'Case-Specific'!$A$13:$E$85,5,0),21)='Auto Responses'!$A$32,'Auto Responses'!$A$33,VLOOKUP($A277,'Case-Specific'!$A$13:$E$85,4,0))&amp;""</f>
        <v>This question does not apply.</v>
      </c>
      <c r="E277" s="206" t="str">
        <f aca="false">VLOOKUP($A277,'Case-Specific'!$A$13:$E$85,5,0)&amp;""</f>
        <v>Based on the response to REQU-05 on the "START HERE" tab, this question does not apply to this product or service.</v>
      </c>
      <c r="F277" s="212"/>
      <c r="G277" s="197" t="str">
        <f aca="false">VLOOKUP($A277,Questions!$A$2:$X$333,21,0)&amp;""</f>
        <v>Yes</v>
      </c>
      <c r="H277" s="198"/>
      <c r="I277" s="199" t="str">
        <f aca="false">VLOOKUP($A277,Questions!$A$2:$X$333,23,0)&amp;""</f>
        <v>Standard Importance</v>
      </c>
      <c r="J277" s="198"/>
      <c r="K277" s="200" t="b">
        <f aca="false">FALSE()</f>
        <v>0</v>
      </c>
      <c r="L277" s="1"/>
    </row>
    <row r="278" s="176" customFormat="true" ht="99.95" hidden="false" customHeight="false" outlineLevel="0" collapsed="false">
      <c r="A278" s="35" t="str">
        <f aca="false">'Case-Specific'!A54</f>
        <v>HIPA-22</v>
      </c>
      <c r="B278" s="36" t="str">
        <f aca="false">VLOOKUP($A278,'Case-Specific'!$A$13:$E$85,2,0)&amp;""</f>
        <v>Does the application log administrative activity, such as user account access changes and password changes, including specific user, date/time of changes, and originating IP or device?</v>
      </c>
      <c r="C278" s="199" t="str">
        <f aca="false">VLOOKUP($A278,'Case-Specific'!$A$13:$E$85,3,0)&amp;""</f>
        <v/>
      </c>
      <c r="D278" s="68" t="str">
        <f aca="false">IF(LEFT(VLOOKUP($A278,'Case-Specific'!$A$13:$E$85,5,0),21)='Auto Responses'!$A$32,'Auto Responses'!$A$33,VLOOKUP($A278,'Case-Specific'!$A$13:$E$85,4,0))&amp;""</f>
        <v>This question does not apply.</v>
      </c>
      <c r="E278" s="206" t="str">
        <f aca="false">VLOOKUP($A278,'Case-Specific'!$A$13:$E$85,5,0)&amp;""</f>
        <v>Based on the response to REQU-05 on the "START HERE" tab, this question does not apply to this product or service.</v>
      </c>
      <c r="F278" s="212"/>
      <c r="G278" s="197" t="str">
        <f aca="false">VLOOKUP($A278,Questions!$A$2:$X$333,21,0)&amp;""</f>
        <v>Yes</v>
      </c>
      <c r="H278" s="198"/>
      <c r="I278" s="199" t="str">
        <f aca="false">VLOOKUP($A278,Questions!$A$2:$X$333,23,0)&amp;""</f>
        <v>Standard Importance</v>
      </c>
      <c r="J278" s="198"/>
      <c r="K278" s="200" t="b">
        <f aca="false">FALSE()</f>
        <v>0</v>
      </c>
      <c r="L278" s="1"/>
    </row>
    <row r="279" s="1" customFormat="true" ht="99.95" hidden="false" customHeight="false" outlineLevel="0" collapsed="false">
      <c r="A279" s="35" t="str">
        <f aca="false">'Case-Specific'!A55</f>
        <v>HIPA-23</v>
      </c>
      <c r="B279" s="36" t="str">
        <f aca="false">VLOOKUP($A279,'Case-Specific'!$A$13:$E$85,2,0)&amp;""</f>
        <v>Do you retain logs for at least as long as required by HIPAA regulations?</v>
      </c>
      <c r="C279" s="199" t="str">
        <f aca="false">VLOOKUP($A279,'Case-Specific'!$A$13:$E$85,3,0)&amp;""</f>
        <v/>
      </c>
      <c r="D279" s="68" t="str">
        <f aca="false">IF(LEFT(VLOOKUP($A279,'Case-Specific'!$A$13:$E$85,5,0),21)='Auto Responses'!$A$32,'Auto Responses'!$A$33,VLOOKUP($A279,'Case-Specific'!$A$13:$E$85,4,0))&amp;""</f>
        <v>This question does not apply.</v>
      </c>
      <c r="E279" s="206" t="str">
        <f aca="false">VLOOKUP($A279,'Case-Specific'!$A$13:$E$85,5,0)&amp;""</f>
        <v>Based on the response to REQU-05 on the "START HERE" tab, this question does not apply to this product or service.</v>
      </c>
      <c r="F279" s="212"/>
      <c r="G279" s="197" t="str">
        <f aca="false">VLOOKUP($A279,Questions!$A$2:$X$333,21,0)&amp;""</f>
        <v>Yes</v>
      </c>
      <c r="H279" s="198"/>
      <c r="I279" s="199" t="str">
        <f aca="false">VLOOKUP($A279,Questions!$A$2:$X$333,23,0)&amp;""</f>
        <v>Standard Importance</v>
      </c>
      <c r="J279" s="198"/>
      <c r="K279" s="200" t="b">
        <f aca="false">FALSE()</f>
        <v>0</v>
      </c>
      <c r="M279" s="176"/>
      <c r="N279" s="176"/>
    </row>
    <row r="280" s="176" customFormat="true" ht="99.95" hidden="false" customHeight="false" outlineLevel="0" collapsed="false">
      <c r="A280" s="35" t="str">
        <f aca="false">'Case-Specific'!A56</f>
        <v>HIPA-24</v>
      </c>
      <c r="B280" s="36" t="str">
        <f aca="false">VLOOKUP($A280,'Case-Specific'!$A$13:$E$85,2,0)&amp;""</f>
        <v>Can the application logs be archived?</v>
      </c>
      <c r="C280" s="199" t="str">
        <f aca="false">VLOOKUP($A280,'Case-Specific'!$A$13:$E$85,3,0)&amp;""</f>
        <v/>
      </c>
      <c r="D280" s="68" t="str">
        <f aca="false">IF(LEFT(VLOOKUP($A280,'Case-Specific'!$A$13:$E$85,5,0),21)='Auto Responses'!$A$32,'Auto Responses'!$A$33,VLOOKUP($A280,'Case-Specific'!$A$13:$E$85,4,0))&amp;""</f>
        <v>This question does not apply.</v>
      </c>
      <c r="E280" s="206" t="str">
        <f aca="false">VLOOKUP($A280,'Case-Specific'!$A$13:$E$85,5,0)&amp;""</f>
        <v>Based on the response to REQU-05 on the "START HERE" tab, this question does not apply to this product or service.</v>
      </c>
      <c r="F280" s="212"/>
      <c r="G280" s="197" t="str">
        <f aca="false">VLOOKUP($A280,Questions!$A$2:$X$333,21,0)&amp;""</f>
        <v>Yes</v>
      </c>
      <c r="H280" s="198"/>
      <c r="I280" s="199" t="str">
        <f aca="false">VLOOKUP($A280,Questions!$A$2:$X$333,23,0)&amp;""</f>
        <v>Standard Importance</v>
      </c>
      <c r="J280" s="198"/>
      <c r="K280" s="200" t="b">
        <f aca="false">FALSE()</f>
        <v>0</v>
      </c>
      <c r="L280" s="1"/>
    </row>
    <row r="281" s="176" customFormat="true" ht="99.95" hidden="false" customHeight="false" outlineLevel="0" collapsed="false">
      <c r="A281" s="35" t="str">
        <f aca="false">'Case-Specific'!A57</f>
        <v>HIPA-25</v>
      </c>
      <c r="B281" s="36" t="str">
        <f aca="false">VLOOKUP($A281,'Case-Specific'!$A$13:$E$85,2,0)&amp;""</f>
        <v>Can the application logs be saved externally?</v>
      </c>
      <c r="C281" s="199" t="str">
        <f aca="false">VLOOKUP($A281,'Case-Specific'!$A$13:$E$85,3,0)&amp;""</f>
        <v/>
      </c>
      <c r="D281" s="68" t="str">
        <f aca="false">IF(LEFT(VLOOKUP($A281,'Case-Specific'!$A$13:$E$85,5,0),21)='Auto Responses'!$A$32,'Auto Responses'!$A$33,VLOOKUP($A281,'Case-Specific'!$A$13:$E$85,4,0))&amp;""</f>
        <v>This question does not apply.</v>
      </c>
      <c r="E281" s="206" t="str">
        <f aca="false">VLOOKUP($A281,'Case-Specific'!$A$13:$E$85,5,0)&amp;""</f>
        <v>Based on the response to REQU-05 on the "START HERE" tab, this question does not apply to this product or service.</v>
      </c>
      <c r="F281" s="212"/>
      <c r="G281" s="197" t="str">
        <f aca="false">VLOOKUP($A281,Questions!$A$2:$X$333,21,0)&amp;""</f>
        <v>Yes</v>
      </c>
      <c r="H281" s="198"/>
      <c r="I281" s="199" t="str">
        <f aca="false">VLOOKUP($A281,Questions!$A$2:$X$333,23,0)&amp;""</f>
        <v>Standard Importance</v>
      </c>
      <c r="J281" s="198"/>
      <c r="K281" s="200" t="b">
        <f aca="false">FALSE()</f>
        <v>0</v>
      </c>
      <c r="L281" s="1"/>
    </row>
    <row r="282" s="176" customFormat="true" ht="99.95" hidden="false" customHeight="false" outlineLevel="0" collapsed="false">
      <c r="A282" s="35" t="str">
        <f aca="false">'Case-Specific'!A58</f>
        <v>HIPA-26</v>
      </c>
      <c r="B282" s="36" t="str">
        <f aca="false">VLOOKUP($A282,'Case-Specific'!$A$13:$E$85,2,0)&amp;""</f>
        <v>Do you have a disaster recovery plan and emergency mode operation plan?</v>
      </c>
      <c r="C282" s="199" t="str">
        <f aca="false">VLOOKUP($A282,'Case-Specific'!$A$13:$E$85,3,0)&amp;""</f>
        <v/>
      </c>
      <c r="D282" s="68" t="str">
        <f aca="false">IF(LEFT(VLOOKUP($A282,'Case-Specific'!$A$13:$E$85,5,0),21)='Auto Responses'!$A$32,'Auto Responses'!$A$33,VLOOKUP($A282,'Case-Specific'!$A$13:$E$85,4,0))&amp;""</f>
        <v>This question does not apply.</v>
      </c>
      <c r="E282" s="206" t="str">
        <f aca="false">VLOOKUP($A282,'Case-Specific'!$A$13:$E$85,5,0)&amp;""</f>
        <v>Based on the response to REQU-05 on the "START HERE" tab, this question does not apply to this product or service.</v>
      </c>
      <c r="F282" s="212"/>
      <c r="G282" s="197" t="str">
        <f aca="false">VLOOKUP($A282,Questions!$A$2:$X$333,21,0)&amp;""</f>
        <v>Yes</v>
      </c>
      <c r="H282" s="198"/>
      <c r="I282" s="199" t="str">
        <f aca="false">VLOOKUP($A282,Questions!$A$2:$X$333,23,0)&amp;""</f>
        <v>Standard Importance</v>
      </c>
      <c r="J282" s="198"/>
      <c r="K282" s="200" t="b">
        <f aca="false">FALSE()</f>
        <v>0</v>
      </c>
      <c r="L282" s="1"/>
    </row>
    <row r="283" s="176" customFormat="true" ht="99.95" hidden="false" customHeight="false" outlineLevel="0" collapsed="false">
      <c r="A283" s="35" t="str">
        <f aca="false">'Case-Specific'!A59</f>
        <v>HIPA-27</v>
      </c>
      <c r="B283" s="36" t="str">
        <f aca="false">VLOOKUP($A283,'Case-Specific'!$A$13:$E$85,2,0)&amp;""</f>
        <v>Can you provide a HIPAA compliance attestation document?</v>
      </c>
      <c r="C283" s="199" t="str">
        <f aca="false">VLOOKUP($A283,'Case-Specific'!$A$13:$E$85,3,0)&amp;""</f>
        <v/>
      </c>
      <c r="D283" s="68" t="str">
        <f aca="false">IF(LEFT(VLOOKUP($A283,'Case-Specific'!$A$13:$E$85,5,0),21)='Auto Responses'!$A$32,'Auto Responses'!$A$33,VLOOKUP($A283,'Case-Specific'!$A$13:$E$85,4,0))&amp;""</f>
        <v>This question does not apply.</v>
      </c>
      <c r="E283" s="206" t="str">
        <f aca="false">VLOOKUP($A283,'Case-Specific'!$A$13:$E$85,5,0)&amp;""</f>
        <v>Based on the response to REQU-05 on the "START HERE" tab, this question does not apply to this product or service.</v>
      </c>
      <c r="F283" s="212"/>
      <c r="G283" s="197" t="str">
        <f aca="false">VLOOKUP($A283,Questions!$A$2:$X$333,21,0)&amp;""</f>
        <v>Yes</v>
      </c>
      <c r="H283" s="198"/>
      <c r="I283" s="199" t="str">
        <f aca="false">VLOOKUP($A283,Questions!$A$2:$X$333,23,0)&amp;""</f>
        <v>Standard Importance</v>
      </c>
      <c r="J283" s="198"/>
      <c r="K283" s="200" t="b">
        <f aca="false">FALSE()</f>
        <v>0</v>
      </c>
      <c r="L283" s="1"/>
    </row>
    <row r="284" s="176" customFormat="true" ht="99.95" hidden="false" customHeight="false" outlineLevel="0" collapsed="false">
      <c r="A284" s="35" t="str">
        <f aca="false">'Case-Specific'!A60</f>
        <v>HIPA-28</v>
      </c>
      <c r="B284" s="36" t="str">
        <f aca="false">VLOOKUP($A284,'Case-Specific'!$A$13:$E$85,2,0)&amp;""</f>
        <v>Are you willing to enter into a Business Associate Agreement (BAA)?</v>
      </c>
      <c r="C284" s="199" t="str">
        <f aca="false">VLOOKUP($A284,'Case-Specific'!$A$13:$E$85,3,0)&amp;""</f>
        <v/>
      </c>
      <c r="D284" s="68" t="str">
        <f aca="false">IF(LEFT(VLOOKUP($A284,'Case-Specific'!$A$13:$E$85,5,0),21)='Auto Responses'!$A$32,'Auto Responses'!$A$33,VLOOKUP($A284,'Case-Specific'!$A$13:$E$85,4,0))&amp;""</f>
        <v>This question does not apply.</v>
      </c>
      <c r="E284" s="206" t="str">
        <f aca="false">VLOOKUP($A284,'Case-Specific'!$A$13:$E$85,5,0)&amp;""</f>
        <v>Based on the response to REQU-05 on the "START HERE" tab, this question does not apply to this product or service.</v>
      </c>
      <c r="F284" s="212"/>
      <c r="G284" s="197" t="str">
        <f aca="false">VLOOKUP($A284,Questions!$A$2:$X$333,21,0)&amp;""</f>
        <v>Yes</v>
      </c>
      <c r="H284" s="198"/>
      <c r="I284" s="199" t="str">
        <f aca="false">VLOOKUP($A284,Questions!$A$2:$X$333,23,0)&amp;""</f>
        <v>Standard Importance</v>
      </c>
      <c r="J284" s="198"/>
      <c r="K284" s="200" t="b">
        <f aca="false">FALSE()</f>
        <v>0</v>
      </c>
      <c r="L284" s="1"/>
    </row>
    <row r="285" s="176" customFormat="true" ht="99.95" hidden="false" customHeight="false" outlineLevel="0" collapsed="false">
      <c r="A285" s="35" t="str">
        <f aca="false">'Case-Specific'!A61</f>
        <v>HIPA-29</v>
      </c>
      <c r="B285" s="36" t="str">
        <f aca="false">VLOOKUP($A285,'Case-Specific'!$A$13:$E$85,2,0)&amp;""</f>
        <v>Do your data backup and retention policies and practices meet HIPAA requirements?</v>
      </c>
      <c r="C285" s="199" t="str">
        <f aca="false">VLOOKUP($A285,'Case-Specific'!$A$13:$E$85,3,0)&amp;""</f>
        <v/>
      </c>
      <c r="D285" s="68" t="str">
        <f aca="false">IF(LEFT(VLOOKUP($A285,'Case-Specific'!$A$13:$E$85,5,0),21)='Auto Responses'!$A$32,'Auto Responses'!$A$33,VLOOKUP($A285,'Case-Specific'!$A$13:$E$85,4,0))&amp;""</f>
        <v>This question does not apply.</v>
      </c>
      <c r="E285" s="206" t="str">
        <f aca="false">VLOOKUP($A285,'Case-Specific'!$A$13:$E$85,5,0)&amp;""</f>
        <v>Based on the response to REQU-05 on the "START HERE" tab, this question does not apply to this product or service.</v>
      </c>
      <c r="F285" s="212"/>
      <c r="G285" s="197" t="str">
        <f aca="false">VLOOKUP($A285,Questions!$A$2:$X$333,21,0)&amp;""</f>
        <v>Yes</v>
      </c>
      <c r="H285" s="198"/>
      <c r="I285" s="199" t="str">
        <f aca="false">VLOOKUP($A285,Questions!$A$2:$X$333,23,0)&amp;""</f>
        <v>Minor Importance</v>
      </c>
      <c r="J285" s="198"/>
      <c r="K285" s="200" t="b">
        <f aca="false">FALSE()</f>
        <v>0</v>
      </c>
      <c r="L285" s="1"/>
    </row>
    <row r="286" s="176" customFormat="true" ht="17.9" hidden="false" customHeight="false" outlineLevel="0" collapsed="false">
      <c r="A286" s="31" t="str">
        <f aca="false">VLOOKUP(LEFT($A287,4),'Auto Responses'!$N$4:$O$38,2,0)&amp;""</f>
        <v> Payment Card Industry Data Security Standard (PCI DSS)</v>
      </c>
      <c r="B286" s="42"/>
      <c r="C286" s="43"/>
      <c r="D286" s="43"/>
      <c r="E286" s="204"/>
      <c r="F286" s="192" t="s">
        <v>454</v>
      </c>
      <c r="G286" s="201" t="s">
        <v>449</v>
      </c>
      <c r="H286" s="201" t="s">
        <v>450</v>
      </c>
      <c r="I286" s="201" t="s">
        <v>451</v>
      </c>
      <c r="J286" s="201" t="s">
        <v>452</v>
      </c>
      <c r="K286" s="43"/>
      <c r="L286" s="1"/>
      <c r="M286" s="1"/>
      <c r="N286" s="1"/>
    </row>
    <row r="287" s="176" customFormat="true" ht="83.55" hidden="false" customHeight="false" outlineLevel="0" collapsed="false">
      <c r="A287" s="35" t="str">
        <f aca="false">'Case-Specific'!A63</f>
        <v>PCID-01</v>
      </c>
      <c r="B287" s="36" t="str">
        <f aca="false">VLOOKUP($A287,'Case-Specific'!$A$13:$E$85,2,0)&amp;""</f>
        <v>Do you have a current, executed within the past year, Attestation of Compliance (AoC) or Report on Compliance (RoC)?*</v>
      </c>
      <c r="C287" s="199" t="str">
        <f aca="false">VLOOKUP($A287,'Case-Specific'!$A$13:$E$85,3,0)&amp;""</f>
        <v/>
      </c>
      <c r="D287" s="68" t="str">
        <f aca="false">IF(LEFT(VLOOKUP($A287,'Case-Specific'!$A$13:$E$85,5,0),21)='Auto Responses'!$A$32,'Auto Responses'!$A$33,VLOOKUP($A287,'Case-Specific'!$A$13:$E$85,4,0))&amp;""</f>
        <v>This question does not apply.</v>
      </c>
      <c r="E287" s="206" t="str">
        <f aca="false">VLOOKUP($A287,'Case-Specific'!$A$13:$E$85,5,0)&amp;""</f>
        <v>Based on the response to REQU-06 on the "START HERE" tab, this question does not apply to this product or service.</v>
      </c>
      <c r="F287" s="212"/>
      <c r="G287" s="197" t="str">
        <f aca="false">VLOOKUP($A287,Questions!$A$2:$X$333,21,0)&amp;""</f>
        <v>Yes</v>
      </c>
      <c r="H287" s="198"/>
      <c r="I287" s="199" t="str">
        <f aca="false">VLOOKUP($A287,Questions!$A$2:$X$333,23,0)&amp;""</f>
        <v>Critical Importance</v>
      </c>
      <c r="J287" s="198"/>
      <c r="K287" s="200" t="b">
        <f aca="false">FALSE()</f>
        <v>0</v>
      </c>
      <c r="L287" s="1"/>
    </row>
    <row r="288" s="176" customFormat="true" ht="83.55" hidden="false" customHeight="false" outlineLevel="0" collapsed="false">
      <c r="A288" s="35" t="str">
        <f aca="false">'Case-Specific'!A64</f>
        <v>PCID-02</v>
      </c>
      <c r="B288" s="36" t="str">
        <f aca="false">VLOOKUP($A288,'Case-Specific'!$A$13:$E$85,2,0)&amp;""</f>
        <v>Is the application listed as an approved Payment Application Data Security Standard (PA-DSS) application?*</v>
      </c>
      <c r="C288" s="199" t="str">
        <f aca="false">VLOOKUP($A288,'Case-Specific'!$A$13:$E$85,3,0)&amp;""</f>
        <v/>
      </c>
      <c r="D288" s="68" t="str">
        <f aca="false">IF(LEFT(VLOOKUP($A288,'Case-Specific'!$A$13:$E$85,5,0),21)='Auto Responses'!$A$32,'Auto Responses'!$A$33,VLOOKUP($A288,'Case-Specific'!$A$13:$E$85,4,0))&amp;""</f>
        <v>This question does not apply.</v>
      </c>
      <c r="E288" s="206" t="str">
        <f aca="false">VLOOKUP($A288,'Case-Specific'!$A$13:$E$85,5,0)&amp;""</f>
        <v>Based on the response to REQU-06 on the "START HERE" tab, this question does not apply to this product or service.</v>
      </c>
      <c r="F288" s="212"/>
      <c r="G288" s="197" t="str">
        <f aca="false">VLOOKUP($A288,Questions!$A$2:$X$333,21,0)&amp;""</f>
        <v>No</v>
      </c>
      <c r="H288" s="198"/>
      <c r="I288" s="199" t="str">
        <f aca="false">VLOOKUP($A288,Questions!$A$2:$X$333,23,0)&amp;""</f>
        <v>Critical Importance</v>
      </c>
      <c r="J288" s="198"/>
      <c r="K288" s="200" t="b">
        <f aca="false">FALSE()</f>
        <v>0</v>
      </c>
      <c r="L288" s="1"/>
    </row>
    <row r="289" s="176" customFormat="true" ht="83.55" hidden="false" customHeight="false" outlineLevel="0" collapsed="false">
      <c r="A289" s="35" t="str">
        <f aca="false">'Case-Specific'!A65</f>
        <v>PCID-03</v>
      </c>
      <c r="B289" s="36" t="str">
        <f aca="false">VLOOKUP($A289,'Case-Specific'!$A$13:$E$85,2,0)&amp;""</f>
        <v>Does the system or solutions use a third party to collect, store, process, or transmit cardholder (payment/credit/debt card) data?*</v>
      </c>
      <c r="C289" s="199" t="str">
        <f aca="false">VLOOKUP($A289,'Case-Specific'!$A$13:$E$85,3,0)&amp;""</f>
        <v/>
      </c>
      <c r="D289" s="68" t="str">
        <f aca="false">IF(LEFT(VLOOKUP($A289,'Case-Specific'!$A$13:$E$85,5,0),21)='Auto Responses'!$A$32,'Auto Responses'!$A$33,VLOOKUP($A289,'Case-Specific'!$A$13:$E$85,4,0))&amp;""</f>
        <v>This question does not apply.</v>
      </c>
      <c r="E289" s="206" t="str">
        <f aca="false">VLOOKUP($A289,'Case-Specific'!$A$13:$E$85,5,0)&amp;""</f>
        <v>Based on the response to REQU-06 on the "START HERE" tab, this question does not apply to this product or service.</v>
      </c>
      <c r="F289" s="212"/>
      <c r="G289" s="197" t="str">
        <f aca="false">VLOOKUP($A289,Questions!$A$2:$X$333,21,0)&amp;""</f>
        <v>No</v>
      </c>
      <c r="H289" s="198"/>
      <c r="I289" s="199" t="str">
        <f aca="false">VLOOKUP($A289,Questions!$A$2:$X$333,23,0)&amp;""</f>
        <v>Critical Importance</v>
      </c>
      <c r="J289" s="198"/>
      <c r="K289" s="200" t="b">
        <f aca="false">FALSE()</f>
        <v>0</v>
      </c>
      <c r="L289" s="1"/>
    </row>
    <row r="290" s="176" customFormat="true" ht="83.55" hidden="false" customHeight="false" outlineLevel="0" collapsed="false">
      <c r="A290" s="35" t="str">
        <f aca="false">'Case-Specific'!A66</f>
        <v>PCID-04</v>
      </c>
      <c r="B290" s="36" t="str">
        <f aca="false">VLOOKUP($A290,'Case-Specific'!$A$13:$E$85,2,0)&amp;""</f>
        <v>Do your systems or solutions store, process, or transmit cardholder (payment/credit/debt card) data?</v>
      </c>
      <c r="C290" s="199" t="str">
        <f aca="false">VLOOKUP($A290,'Case-Specific'!$A$13:$E$85,3,0)&amp;""</f>
        <v/>
      </c>
      <c r="D290" s="68" t="str">
        <f aca="false">IF(LEFT(VLOOKUP($A290,'Case-Specific'!$A$13:$E$85,5,0),21)='Auto Responses'!$A$32,'Auto Responses'!$A$33,VLOOKUP($A290,'Case-Specific'!$A$13:$E$85,4,0))&amp;""</f>
        <v>This question does not apply.</v>
      </c>
      <c r="E290" s="206" t="str">
        <f aca="false">VLOOKUP($A290,'Case-Specific'!$A$13:$E$85,5,0)&amp;""</f>
        <v>Based on the response to REQU-06 on the "START HERE" tab, this question does not apply to this product or service.</v>
      </c>
      <c r="F290" s="212"/>
      <c r="G290" s="197" t="str">
        <f aca="false">VLOOKUP($A290,Questions!$A$2:$X$333,21,0)&amp;""</f>
        <v>Yes</v>
      </c>
      <c r="H290" s="198"/>
      <c r="I290" s="199" t="str">
        <f aca="false">VLOOKUP($A290,Questions!$A$2:$X$333,23,0)&amp;""</f>
        <v>Standard Importance</v>
      </c>
      <c r="J290" s="198"/>
      <c r="K290" s="200" t="b">
        <f aca="false">FALSE()</f>
        <v>0</v>
      </c>
      <c r="L290" s="1"/>
    </row>
    <row r="291" s="176" customFormat="true" ht="83.55" hidden="false" customHeight="false" outlineLevel="0" collapsed="false">
      <c r="A291" s="35" t="str">
        <f aca="false">'Case-Specific'!A67</f>
        <v>PCID-05</v>
      </c>
      <c r="B291" s="36" t="str">
        <f aca="false">VLOOKUP($A291,'Case-Specific'!$A$13:$E$85,2,0)&amp;""</f>
        <v>Are you compliant with the Payment Card Industry Data Security Standard (PCI DSS)?</v>
      </c>
      <c r="C291" s="199" t="str">
        <f aca="false">VLOOKUP($A291,'Case-Specific'!$A$13:$E$85,3,0)&amp;""</f>
        <v/>
      </c>
      <c r="D291" s="68" t="str">
        <f aca="false">IF(LEFT(VLOOKUP($A291,'Case-Specific'!$A$13:$E$85,5,0),21)='Auto Responses'!$A$32,'Auto Responses'!$A$33,VLOOKUP($A291,'Case-Specific'!$A$13:$E$85,4,0))&amp;""</f>
        <v>This question does not apply.</v>
      </c>
      <c r="E291" s="206" t="str">
        <f aca="false">VLOOKUP($A291,'Case-Specific'!$A$13:$E$85,5,0)&amp;""</f>
        <v>Based on the response to REQU-06 on the "START HERE" tab, this question does not apply to this product or service.</v>
      </c>
      <c r="F291" s="212"/>
      <c r="G291" s="197" t="str">
        <f aca="false">VLOOKUP($A291,Questions!$A$2:$X$333,21,0)&amp;""</f>
        <v>Yes</v>
      </c>
      <c r="H291" s="198"/>
      <c r="I291" s="199" t="str">
        <f aca="false">VLOOKUP($A291,Questions!$A$2:$X$333,23,0)&amp;""</f>
        <v>Standard Importance</v>
      </c>
      <c r="J291" s="198"/>
      <c r="K291" s="200" t="b">
        <f aca="false">FALSE()</f>
        <v>0</v>
      </c>
      <c r="L291" s="1"/>
    </row>
    <row r="292" s="1" customFormat="true" ht="83.55" hidden="false" customHeight="false" outlineLevel="0" collapsed="false">
      <c r="A292" s="35" t="str">
        <f aca="false">'Case-Specific'!A68</f>
        <v>PCID-06</v>
      </c>
      <c r="B292" s="36" t="str">
        <f aca="false">VLOOKUP($A292,'Case-Specific'!$A$13:$E$85,2,0)&amp;""</f>
        <v>Are you classified as a service provider?</v>
      </c>
      <c r="C292" s="199" t="str">
        <f aca="false">VLOOKUP($A292,'Case-Specific'!$A$13:$E$85,3,0)&amp;""</f>
        <v/>
      </c>
      <c r="D292" s="68" t="str">
        <f aca="false">IF(LEFT(VLOOKUP($A292,'Case-Specific'!$A$13:$E$85,5,0),21)='Auto Responses'!$A$32,'Auto Responses'!$A$33,VLOOKUP($A292,'Case-Specific'!$A$13:$E$85,4,0))&amp;""</f>
        <v>This question does not apply.</v>
      </c>
      <c r="E292" s="206" t="str">
        <f aca="false">VLOOKUP($A292,'Case-Specific'!$A$13:$E$85,5,0)&amp;""</f>
        <v>Based on the response to REQU-06 on the "START HERE" tab, this question does not apply to this product or service.</v>
      </c>
      <c r="F292" s="212"/>
      <c r="G292" s="197" t="str">
        <f aca="false">VLOOKUP($A292,Questions!$A$2:$X$333,21,0)&amp;""</f>
        <v>Yes</v>
      </c>
      <c r="H292" s="198"/>
      <c r="I292" s="199" t="str">
        <f aca="false">VLOOKUP($A292,Questions!$A$2:$X$333,23,0)&amp;""</f>
        <v>Standard Importance</v>
      </c>
      <c r="J292" s="198"/>
      <c r="K292" s="200" t="b">
        <f aca="false">FALSE()</f>
        <v>0</v>
      </c>
      <c r="M292" s="176"/>
      <c r="N292" s="176"/>
    </row>
    <row r="293" s="176" customFormat="true" ht="83.55" hidden="false" customHeight="false" outlineLevel="0" collapsed="false">
      <c r="A293" s="35" t="str">
        <f aca="false">'Case-Specific'!A69</f>
        <v>PCID-07</v>
      </c>
      <c r="B293" s="36" t="str">
        <f aca="false">VLOOKUP($A293,'Case-Specific'!$A$13:$E$85,2,0)&amp;""</f>
        <v>Are you on the list of Visa approved service providers?</v>
      </c>
      <c r="C293" s="199" t="str">
        <f aca="false">VLOOKUP($A293,'Case-Specific'!$A$13:$E$85,3,0)&amp;""</f>
        <v/>
      </c>
      <c r="D293" s="68" t="str">
        <f aca="false">IF(LEFT(VLOOKUP($A293,'Case-Specific'!$A$13:$E$85,5,0),21)='Auto Responses'!$A$32,'Auto Responses'!$A$33,VLOOKUP($A293,'Case-Specific'!$A$13:$E$85,4,0))&amp;""</f>
        <v>This question does not apply.</v>
      </c>
      <c r="E293" s="206" t="str">
        <f aca="false">VLOOKUP($A293,'Case-Specific'!$A$13:$E$85,5,0)&amp;""</f>
        <v>Based on the response to REQU-06 on the "START HERE" tab, this question does not apply to this product or service.</v>
      </c>
      <c r="F293" s="212"/>
      <c r="G293" s="197" t="str">
        <f aca="false">VLOOKUP($A293,Questions!$A$2:$X$333,21,0)&amp;""</f>
        <v>Yes</v>
      </c>
      <c r="H293" s="198"/>
      <c r="I293" s="199" t="str">
        <f aca="false">VLOOKUP($A293,Questions!$A$2:$X$333,23,0)&amp;""</f>
        <v>Standard Importance</v>
      </c>
      <c r="J293" s="198"/>
      <c r="K293" s="200" t="b">
        <f aca="false">FALSE()</f>
        <v>0</v>
      </c>
      <c r="L293" s="1"/>
    </row>
    <row r="294" s="176" customFormat="true" ht="83.55" hidden="false" customHeight="false" outlineLevel="0" collapsed="false">
      <c r="A294" s="35" t="str">
        <f aca="false">'Case-Specific'!A70</f>
        <v>PCID-08</v>
      </c>
      <c r="B294" s="36" t="str">
        <f aca="false">VLOOKUP($A294,'Case-Specific'!$A$13:$E$85,2,0)&amp;""</f>
        <v>Are you classified as a merchant? If so, what level (1, 2, 3, 4)?</v>
      </c>
      <c r="C294" s="199" t="str">
        <f aca="false">VLOOKUP($A294,'Case-Specific'!$A$13:$E$85,3,0)&amp;""</f>
        <v/>
      </c>
      <c r="D294" s="68" t="str">
        <f aca="false">IF(LEFT(VLOOKUP($A294,'Case-Specific'!$A$13:$E$85,5,0),21)='Auto Responses'!$A$32,'Auto Responses'!$A$33,VLOOKUP($A294,'Case-Specific'!$A$13:$E$85,4,0))&amp;""</f>
        <v>This question does not apply.</v>
      </c>
      <c r="E294" s="206" t="str">
        <f aca="false">VLOOKUP($A294,'Case-Specific'!$A$13:$E$85,5,0)&amp;""</f>
        <v>Based on the response to REQU-06 on the "START HERE" tab, this question does not apply to this product or service.</v>
      </c>
      <c r="F294" s="212"/>
      <c r="G294" s="197" t="str">
        <f aca="false">VLOOKUP($A294,Questions!$A$2:$X$333,21,0)&amp;""</f>
        <v>Yes</v>
      </c>
      <c r="H294" s="198"/>
      <c r="I294" s="199" t="str">
        <f aca="false">VLOOKUP($A294,Questions!$A$2:$X$333,23,0)&amp;""</f>
        <v>Standard Importance</v>
      </c>
      <c r="J294" s="198"/>
      <c r="K294" s="200" t="b">
        <f aca="false">FALSE()</f>
        <v>0</v>
      </c>
      <c r="L294" s="1"/>
    </row>
    <row r="295" s="176" customFormat="true" ht="83.55" hidden="false" customHeight="false" outlineLevel="0" collapsed="false">
      <c r="A295" s="35" t="str">
        <f aca="false">'Case-Specific'!A71</f>
        <v>PCID-09</v>
      </c>
      <c r="B295" s="36" t="str">
        <f aca="false">VLOOKUP($A295,'Case-Specific'!$A$13:$E$85,2,0)&amp;""</f>
        <v>Describe the architecture employed by the system to verify and authorize credit card transactions.</v>
      </c>
      <c r="C295" s="203" t="str">
        <f aca="false">VLOOKUP($A295,'Case-Specific'!$A$13:$E$85,3,0)&amp;""</f>
        <v/>
      </c>
      <c r="D295" s="214" t="str">
        <f aca="false">IF(LEFT(VLOOKUP($A295,'Case-Specific'!$A$13:$E$85,5,0),21)='Auto Responses'!$A$32,'Auto Responses'!$A$33,VLOOKUP($A295,'Case-Specific'!$A$13:$E$85,4,0))&amp;""</f>
        <v>This question does not apply.</v>
      </c>
      <c r="E295" s="206" t="str">
        <f aca="false">VLOOKUP($A295,'Case-Specific'!$A$13:$E$85,5,0)&amp;""</f>
        <v>Based on the response to REQU-06 on the "START HERE" tab, this question does not apply to this product or service.</v>
      </c>
      <c r="F295" s="212"/>
      <c r="G295" s="197" t="str">
        <f aca="false">VLOOKUP($A295,Questions!$A$2:$X$333,21,0)&amp;""</f>
        <v>Not scored</v>
      </c>
      <c r="H295" s="198"/>
      <c r="I295" s="199" t="str">
        <f aca="false">VLOOKUP($A295,Questions!$A$2:$X$333,23,0)&amp;""</f>
        <v/>
      </c>
      <c r="J295" s="198"/>
      <c r="K295" s="200" t="b">
        <f aca="false">FALSE()</f>
        <v>0</v>
      </c>
      <c r="L295" s="1"/>
    </row>
    <row r="296" s="176" customFormat="true" ht="83.55" hidden="false" customHeight="false" outlineLevel="0" collapsed="false">
      <c r="A296" s="35" t="str">
        <f aca="false">'Case-Specific'!A72</f>
        <v>PCID-10</v>
      </c>
      <c r="B296" s="36" t="str">
        <f aca="false">VLOOKUP($A296,'Case-Specific'!$A$13:$E$85,2,0)&amp;""</f>
        <v>What payment processors/gateways does the system support?</v>
      </c>
      <c r="C296" s="199" t="str">
        <f aca="false">VLOOKUP($A296,'Case-Specific'!$A$13:$E$85,3,0)&amp;""</f>
        <v/>
      </c>
      <c r="D296" s="68" t="str">
        <f aca="false">IF(LEFT(VLOOKUP($A296,'Case-Specific'!$A$13:$E$85,5,0),21)='Auto Responses'!$A$32,'Auto Responses'!$A$33,VLOOKUP($A296,'Case-Specific'!$A$13:$E$85,4,0))&amp;""</f>
        <v>This question does not apply.</v>
      </c>
      <c r="E296" s="206" t="str">
        <f aca="false">VLOOKUP($A296,'Case-Specific'!$A$13:$E$85,5,0)&amp;""</f>
        <v>Based on the response to REQU-06 on the "START HERE" tab, this question does not apply to this product or service.</v>
      </c>
      <c r="F296" s="212"/>
      <c r="G296" s="197" t="str">
        <f aca="false">VLOOKUP($A296,Questions!$A$2:$X$333,21,0)&amp;""</f>
        <v>Not scored</v>
      </c>
      <c r="H296" s="198"/>
      <c r="I296" s="199" t="str">
        <f aca="false">VLOOKUP($A296,Questions!$A$2:$X$333,23,0)&amp;""</f>
        <v/>
      </c>
      <c r="J296" s="198"/>
      <c r="K296" s="200" t="b">
        <f aca="false">FALSE()</f>
        <v>0</v>
      </c>
      <c r="L296" s="1"/>
    </row>
    <row r="297" s="176" customFormat="true" ht="83.55" hidden="false" customHeight="false" outlineLevel="0" collapsed="false">
      <c r="A297" s="35" t="str">
        <f aca="false">'Case-Specific'!A73</f>
        <v>PCID-11</v>
      </c>
      <c r="B297" s="36" t="str">
        <f aca="false">VLOOKUP($A297,'Case-Specific'!$A$13:$E$85,2,0)&amp;""</f>
        <v>Can the application be installed in a PCI DSS–compliant manner?</v>
      </c>
      <c r="C297" s="199" t="str">
        <f aca="false">VLOOKUP($A297,'Case-Specific'!$A$13:$E$85,3,0)&amp;""</f>
        <v/>
      </c>
      <c r="D297" s="68" t="str">
        <f aca="false">IF(LEFT(VLOOKUP($A297,'Case-Specific'!$A$13:$E$85,5,0),21)='Auto Responses'!$A$32,'Auto Responses'!$A$33,VLOOKUP($A297,'Case-Specific'!$A$13:$E$85,4,0))&amp;""</f>
        <v>This question does not apply.</v>
      </c>
      <c r="E297" s="206" t="str">
        <f aca="false">VLOOKUP($A297,'Case-Specific'!$A$13:$E$85,5,0)&amp;""</f>
        <v>Based on the response to REQU-06 on the "START HERE" tab, this question does not apply to this product or service.</v>
      </c>
      <c r="F297" s="212"/>
      <c r="G297" s="197" t="str">
        <f aca="false">VLOOKUP($A297,Questions!$A$2:$X$333,21,0)&amp;""</f>
        <v>Yes</v>
      </c>
      <c r="H297" s="198"/>
      <c r="I297" s="199" t="str">
        <f aca="false">VLOOKUP($A297,Questions!$A$2:$X$333,23,0)&amp;""</f>
        <v>Minor Importance</v>
      </c>
      <c r="J297" s="198"/>
      <c r="K297" s="200" t="b">
        <f aca="false">FALSE()</f>
        <v>0</v>
      </c>
      <c r="L297" s="1"/>
    </row>
    <row r="298" s="176" customFormat="true" ht="83.55" hidden="false" customHeight="false" outlineLevel="0" collapsed="false">
      <c r="A298" s="35" t="str">
        <f aca="false">'Case-Specific'!A74</f>
        <v>PCID-12</v>
      </c>
      <c r="B298" s="36" t="str">
        <f aca="false">VLOOKUP($A298,'Case-Specific'!$A$13:$E$85,2,0)&amp;""</f>
        <v>Include documentation describing the system's abilities to comply with the PCI DSS and any features or capabilities of the system that must be added or changed in order to operate in compliance with the standards.</v>
      </c>
      <c r="C298" s="203" t="str">
        <f aca="false">VLOOKUP($A298,'Case-Specific'!$A$13:$E$85,3,0)&amp;""</f>
        <v/>
      </c>
      <c r="D298" s="214" t="str">
        <f aca="false">IF(LEFT(VLOOKUP($A298,'Case-Specific'!$A$13:$E$85,5,0),21)='Auto Responses'!$A$32,'Auto Responses'!$A$33,VLOOKUP($A298,'Case-Specific'!$A$13:$E$85,4,0))&amp;""</f>
        <v>This question does not apply.</v>
      </c>
      <c r="E298" s="206" t="str">
        <f aca="false">VLOOKUP($A298,'Case-Specific'!$A$13:$E$85,5,0)&amp;""</f>
        <v>Based on the response to REQU-06 on the "START HERE" tab, this question does not apply to this product or service.</v>
      </c>
      <c r="F298" s="212"/>
      <c r="G298" s="197" t="str">
        <f aca="false">VLOOKUP($A298,Questions!$A$2:$X$333,21,0)&amp;""</f>
        <v>Not scored</v>
      </c>
      <c r="H298" s="198"/>
      <c r="I298" s="199" t="str">
        <f aca="false">VLOOKUP($A298,Questions!$A$2:$X$333,23,0)&amp;""</f>
        <v/>
      </c>
      <c r="J298" s="198"/>
      <c r="K298" s="200" t="b">
        <f aca="false">FALSE()</f>
        <v>0</v>
      </c>
      <c r="L298" s="1"/>
    </row>
    <row r="299" s="176" customFormat="true" ht="17.9" hidden="false" customHeight="false" outlineLevel="0" collapsed="false">
      <c r="A299" s="31" t="str">
        <f aca="false">VLOOKUP(LEFT($A300,4),'Auto Responses'!$N$4:$O$38,2,0)&amp;""</f>
        <v> On-Premises Data Solutions</v>
      </c>
      <c r="B299" s="42"/>
      <c r="C299" s="43"/>
      <c r="D299" s="43"/>
      <c r="E299" s="204"/>
      <c r="F299" s="192" t="s">
        <v>454</v>
      </c>
      <c r="G299" s="201" t="s">
        <v>449</v>
      </c>
      <c r="H299" s="201" t="s">
        <v>450</v>
      </c>
      <c r="I299" s="201" t="s">
        <v>451</v>
      </c>
      <c r="J299" s="201" t="s">
        <v>452</v>
      </c>
      <c r="K299" s="43"/>
      <c r="L299" s="1"/>
      <c r="M299" s="1"/>
      <c r="N299" s="1"/>
    </row>
    <row r="300" s="176" customFormat="true" ht="31.3" hidden="false" customHeight="false" outlineLevel="0" collapsed="false">
      <c r="A300" s="35" t="str">
        <f aca="false">'Case-Specific'!A76</f>
        <v>OPEM-01</v>
      </c>
      <c r="B300" s="36" t="str">
        <f aca="false">VLOOKUP($A300,'Case-Specific'!$A$13:$E$85,2,0)&amp;""</f>
        <v>Do you support role-based access control (RBAC) for system administrators?</v>
      </c>
      <c r="C300" s="199" t="str">
        <f aca="false">VLOOKUP($A300,'Case-Specific'!$A$13:$E$85,3,0)&amp;""</f>
        <v/>
      </c>
      <c r="D300" s="68" t="str">
        <f aca="false">IF(LEFT(VLOOKUP($A300,'Case-Specific'!$A$13:$E$85,5,0),21)='Auto Responses'!$A$32,'Auto Responses'!$A$33,VLOOKUP($A300,'Case-Specific'!$A$13:$E$85,4,0))&amp;""</f>
        <v>This question does not apply.</v>
      </c>
      <c r="E300" s="206" t="str">
        <f aca="false">VLOOKUP($A300,'Case-Specific'!$A$13:$E$85,5,0)&amp;""</f>
        <v>Based on the response to REQU-07 on the "START HERE" tab, this question does not apply to this product or service.</v>
      </c>
      <c r="F300" s="212"/>
      <c r="G300" s="197" t="str">
        <f aca="false">VLOOKUP($A300,Questions!$A$2:$X$333,21,0)&amp;""</f>
        <v>Yes</v>
      </c>
      <c r="H300" s="198"/>
      <c r="I300" s="199" t="str">
        <f aca="false">VLOOKUP($A300,Questions!$A$2:$X$333,23,0)&amp;""</f>
        <v>Standard Importance</v>
      </c>
      <c r="J300" s="198"/>
      <c r="K300" s="200" t="b">
        <f aca="false">FALSE()</f>
        <v>0</v>
      </c>
      <c r="L300" s="1"/>
    </row>
    <row r="301" s="176" customFormat="true" ht="67.15" hidden="false" customHeight="false" outlineLevel="0" collapsed="false">
      <c r="A301" s="35" t="str">
        <f aca="false">'Case-Specific'!A77</f>
        <v>OPEM-02</v>
      </c>
      <c r="B301" s="36" t="str">
        <f aca="false">VLOOKUP($A301,'Case-Specific'!$A$13:$E$85,2,0)&amp;""</f>
        <v>Can your employees access customer systems remotely?</v>
      </c>
      <c r="C301" s="199" t="str">
        <f aca="false">VLOOKUP($A301,'Case-Specific'!$A$13:$E$85,3,0)&amp;""</f>
        <v/>
      </c>
      <c r="D301" s="68" t="str">
        <f aca="false">IF(LEFT(VLOOKUP($A301,'Case-Specific'!$A$13:$E$85,5,0),21)='Auto Responses'!$A$32,'Auto Responses'!$A$33,VLOOKUP($A301,'Case-Specific'!$A$13:$E$85,4,0))&amp;""</f>
        <v>This question does not apply.</v>
      </c>
      <c r="E301" s="206" t="str">
        <f aca="false">VLOOKUP($A301,'Case-Specific'!$A$13:$E$85,5,0)&amp;""</f>
        <v>Based on the response to REQU-07 on the "START HERE" tab, this question does not apply to this product or service.</v>
      </c>
      <c r="F301" s="212"/>
      <c r="G301" s="197" t="str">
        <f aca="false">VLOOKUP($A301,Questions!$A$2:$X$333,21,0)&amp;""</f>
        <v>No</v>
      </c>
      <c r="H301" s="198"/>
      <c r="I301" s="199" t="str">
        <f aca="false">VLOOKUP($A301,Questions!$A$2:$X$333,23,0)&amp;""</f>
        <v>Standard Importance</v>
      </c>
      <c r="J301" s="198"/>
      <c r="K301" s="200" t="b">
        <f aca="false">FALSE()</f>
        <v>0</v>
      </c>
      <c r="L301" s="1"/>
    </row>
    <row r="302" s="176" customFormat="true" ht="67.15" hidden="false" customHeight="false" outlineLevel="0" collapsed="false">
      <c r="A302" s="35" t="str">
        <f aca="false">'Case-Specific'!A78</f>
        <v>OPEM-03</v>
      </c>
      <c r="B302" s="36" t="str">
        <f aca="false">VLOOKUP($A302,'Case-Specific'!$A$13:$E$85,2,0)&amp;""</f>
        <v>Can you provide overall system and/or application architecture diagrams including a full description of the data communications architecture for all components of the system?</v>
      </c>
      <c r="C302" s="199" t="str">
        <f aca="false">VLOOKUP($A302,'Case-Specific'!$A$13:$E$85,3,0)&amp;""</f>
        <v/>
      </c>
      <c r="D302" s="68" t="str">
        <f aca="false">IF(LEFT(VLOOKUP($A302,'Case-Specific'!$A$13:$E$85,5,0),21)='Auto Responses'!$A$32,'Auto Responses'!$A$33,VLOOKUP($A302,'Case-Specific'!$A$13:$E$85,4,0))&amp;""</f>
        <v>This question does not apply.</v>
      </c>
      <c r="E302" s="206" t="str">
        <f aca="false">VLOOKUP($A302,'Case-Specific'!$A$13:$E$85,5,0)&amp;""</f>
        <v>Based on the response to REQU-07 on the "START HERE" tab, this question does not apply to this product or service.</v>
      </c>
      <c r="F302" s="212"/>
      <c r="G302" s="197" t="str">
        <f aca="false">VLOOKUP($A302,Questions!$A$2:$X$333,21,0)&amp;""</f>
        <v>Yes</v>
      </c>
      <c r="H302" s="198"/>
      <c r="I302" s="199" t="str">
        <f aca="false">VLOOKUP($A302,Questions!$A$2:$X$333,23,0)&amp;""</f>
        <v>Standard Importance</v>
      </c>
      <c r="J302" s="198"/>
      <c r="K302" s="200" t="b">
        <f aca="false">FALSE()</f>
        <v>0</v>
      </c>
      <c r="L302" s="1"/>
    </row>
    <row r="303" s="1" customFormat="true" ht="67.15" hidden="false" customHeight="false" outlineLevel="0" collapsed="false">
      <c r="A303" s="35" t="str">
        <f aca="false">'Case-Specific'!A79</f>
        <v>OPEM-04</v>
      </c>
      <c r="B303" s="36" t="str">
        <f aca="false">VLOOKUP($A303,'Case-Specific'!$A$13:$E$85,2,0)&amp;""</f>
        <v>Do you require remote management of the system?</v>
      </c>
      <c r="C303" s="199" t="str">
        <f aca="false">VLOOKUP($A303,'Case-Specific'!$A$13:$E$85,3,0)&amp;""</f>
        <v/>
      </c>
      <c r="D303" s="68" t="str">
        <f aca="false">IF(LEFT(VLOOKUP($A303,'Case-Specific'!$A$13:$E$85,5,0),21)='Auto Responses'!$A$32,'Auto Responses'!$A$33,VLOOKUP($A303,'Case-Specific'!$A$13:$E$85,4,0))&amp;""</f>
        <v>This question does not apply.</v>
      </c>
      <c r="E303" s="206" t="str">
        <f aca="false">VLOOKUP($A303,'Case-Specific'!$A$13:$E$85,5,0)&amp;""</f>
        <v>Based on the response to REQU-07 on the "START HERE" tab, this question does not apply to this product or service.</v>
      </c>
      <c r="F303" s="212"/>
      <c r="G303" s="197" t="str">
        <f aca="false">VLOOKUP($A303,Questions!$A$2:$X$333,21,0)&amp;""</f>
        <v>No</v>
      </c>
      <c r="H303" s="198"/>
      <c r="I303" s="199" t="str">
        <f aca="false">VLOOKUP($A303,Questions!$A$2:$X$333,23,0)&amp;""</f>
        <v>Standard Importance</v>
      </c>
      <c r="J303" s="198"/>
      <c r="K303" s="200" t="b">
        <f aca="false">FALSE()</f>
        <v>0</v>
      </c>
      <c r="M303" s="176"/>
      <c r="N303" s="176"/>
    </row>
    <row r="304" s="176" customFormat="true" ht="67.15" hidden="false" customHeight="false" outlineLevel="0" collapsed="false">
      <c r="A304" s="35" t="str">
        <f aca="false">'Case-Specific'!A80</f>
        <v>OPEM-05</v>
      </c>
      <c r="B304" s="36" t="str">
        <f aca="false">VLOOKUP($A304,'Case-Specific'!$A$13:$E$85,2,0)&amp;""</f>
        <v>If you answered "yes" to OPEM-04, are your remote actions and changes logged or otherwise visible to the campus?</v>
      </c>
      <c r="C304" s="199" t="str">
        <f aca="false">VLOOKUP($A304,'Case-Specific'!$A$13:$E$85,3,0)&amp;""</f>
        <v/>
      </c>
      <c r="D304" s="68" t="str">
        <f aca="false">IF(LEFT(VLOOKUP($A304,'Case-Specific'!$A$13:$E$85,5,0),21)='Auto Responses'!$A$32,'Auto Responses'!$A$33,VLOOKUP($A304,'Case-Specific'!$A$13:$E$85,4,0))&amp;""</f>
        <v>This question does not apply.</v>
      </c>
      <c r="E304" s="206" t="str">
        <f aca="false">VLOOKUP($A304,'Case-Specific'!$A$13:$E$85,5,0)&amp;""</f>
        <v>Based on the response to REQU-07 on the "START HERE" tab, this question does not apply to this product or service.</v>
      </c>
      <c r="F304" s="212"/>
      <c r="G304" s="197" t="str">
        <f aca="false">VLOOKUP($A304,Questions!$A$2:$X$333,21,0)&amp;""</f>
        <v>Yes</v>
      </c>
      <c r="H304" s="198"/>
      <c r="I304" s="199" t="str">
        <f aca="false">VLOOKUP($A304,Questions!$A$2:$X$333,23,0)&amp;""</f>
        <v>Standard Importance</v>
      </c>
      <c r="J304" s="198"/>
      <c r="K304" s="200" t="b">
        <f aca="false">FALSE()</f>
        <v>0</v>
      </c>
      <c r="L304" s="1"/>
    </row>
    <row r="305" s="176" customFormat="true" ht="67.15" hidden="false" customHeight="false" outlineLevel="0" collapsed="false">
      <c r="A305" s="35" t="str">
        <f aca="false">'Case-Specific'!A81</f>
        <v>OPEM-06</v>
      </c>
      <c r="B305" s="36" t="str">
        <f aca="false">VLOOKUP($A305,'Case-Specific'!$A$13:$E$85,2,0)&amp;""</f>
        <v>If you maintain remote access to the system, will you handle data in a FERPA-compliant manner?</v>
      </c>
      <c r="C305" s="199" t="str">
        <f aca="false">VLOOKUP($A305,'Case-Specific'!$A$13:$E$85,3,0)&amp;""</f>
        <v/>
      </c>
      <c r="D305" s="68" t="str">
        <f aca="false">IF(LEFT(VLOOKUP($A305,'Case-Specific'!$A$13:$E$85,5,0),21)='Auto Responses'!$A$32,'Auto Responses'!$A$33,VLOOKUP($A305,'Case-Specific'!$A$13:$E$85,4,0))&amp;""</f>
        <v>This question does not apply.</v>
      </c>
      <c r="E305" s="206" t="str">
        <f aca="false">VLOOKUP($A305,'Case-Specific'!$A$13:$E$85,5,0)&amp;""</f>
        <v>Based on the response to REQU-07 on the "START HERE" tab, this question does not apply to this product or service.</v>
      </c>
      <c r="F305" s="212"/>
      <c r="G305" s="197" t="str">
        <f aca="false">VLOOKUP($A305,Questions!$A$2:$X$333,21,0)&amp;""</f>
        <v>Yes</v>
      </c>
      <c r="H305" s="198"/>
      <c r="I305" s="199" t="str">
        <f aca="false">VLOOKUP($A305,Questions!$A$2:$X$333,23,0)&amp;""</f>
        <v>Standard Importance</v>
      </c>
      <c r="J305" s="198"/>
      <c r="K305" s="200" t="b">
        <f aca="false">FALSE()</f>
        <v>0</v>
      </c>
      <c r="L305" s="1"/>
    </row>
    <row r="306" s="1" customFormat="true" ht="67.15" hidden="false" customHeight="false" outlineLevel="0" collapsed="false">
      <c r="A306" s="35" t="str">
        <f aca="false">'Case-Specific'!A82</f>
        <v>OPEM-07</v>
      </c>
      <c r="B306" s="36" t="str">
        <f aca="false">VLOOKUP($A306,'Case-Specific'!$A$13:$E$85,2,0)&amp;""</f>
        <v>Do you support campus status monitoring through SNMPv3 or other means?</v>
      </c>
      <c r="C306" s="199" t="str">
        <f aca="false">VLOOKUP($A306,'Case-Specific'!$A$13:$E$85,3,0)&amp;""</f>
        <v/>
      </c>
      <c r="D306" s="68" t="str">
        <f aca="false">IF(LEFT(VLOOKUP($A306,'Case-Specific'!$A$13:$E$85,5,0),21)='Auto Responses'!$A$32,'Auto Responses'!$A$33,VLOOKUP($A306,'Case-Specific'!$A$13:$E$85,4,0))&amp;""</f>
        <v>This question does not apply.</v>
      </c>
      <c r="E306" s="202" t="str">
        <f aca="false">VLOOKUP($A306,'Case-Specific'!$A$13:$E$85,5,0)&amp;""</f>
        <v>Based on the response to REQU-07 on the "START HERE" tab, this question does not apply to this product or service.</v>
      </c>
      <c r="F306" s="212"/>
      <c r="G306" s="197" t="str">
        <f aca="false">VLOOKUP($A306,Questions!$A$2:$X$333,21,0)&amp;""</f>
        <v>Yes</v>
      </c>
      <c r="H306" s="198"/>
      <c r="I306" s="199" t="str">
        <f aca="false">VLOOKUP($A306,Questions!$A$2:$X$333,23,0)&amp;""</f>
        <v>Standard Importance</v>
      </c>
      <c r="J306" s="198"/>
      <c r="K306" s="200" t="b">
        <f aca="false">FALSE()</f>
        <v>0</v>
      </c>
      <c r="M306" s="176"/>
      <c r="N306" s="176"/>
    </row>
    <row r="307" s="176" customFormat="true" ht="67.15" hidden="false" customHeight="false" outlineLevel="0" collapsed="false">
      <c r="A307" s="35" t="str">
        <f aca="false">'Case-Specific'!A83</f>
        <v>OPEM-08</v>
      </c>
      <c r="B307" s="36" t="str">
        <f aca="false">VLOOKUP($A307,'Case-Specific'!$A$13:$E$85,2,0)&amp;""</f>
        <v>Describe or provide a reference to any other safeguards used to monitor for malicious activity.</v>
      </c>
      <c r="C307" s="203" t="str">
        <f aca="false">VLOOKUP($A307,'Case-Specific'!$A$13:$E$85,3,0)&amp;""</f>
        <v/>
      </c>
      <c r="D307" s="194" t="str">
        <f aca="false">IF(LEFT(VLOOKUP($A307,'Case-Specific'!$A$13:$E$85,5,0),21)='Auto Responses'!$A$32,'Auto Responses'!$A$33,VLOOKUP($A307,'Case-Specific'!$A$13:$E$85,4,0))&amp;""</f>
        <v>This question does not apply.</v>
      </c>
      <c r="E307" s="202" t="str">
        <f aca="false">VLOOKUP($A307,'Case-Specific'!$A$13:$E$85,5,0)&amp;""</f>
        <v>Based on the response to REQU-07 on the "START HERE" tab, this question does not apply to this product or service.</v>
      </c>
      <c r="F307" s="212"/>
      <c r="G307" s="197" t="str">
        <f aca="false">VLOOKUP($A307,Questions!$A$2:$X$333,21,0)&amp;""</f>
        <v>Not scored</v>
      </c>
      <c r="H307" s="198"/>
      <c r="I307" s="199" t="str">
        <f aca="false">VLOOKUP($A307,Questions!$A$2:$X$333,23,0)&amp;""</f>
        <v/>
      </c>
      <c r="J307" s="198"/>
      <c r="K307" s="200" t="b">
        <f aca="false">FALSE()</f>
        <v>0</v>
      </c>
      <c r="L307" s="1"/>
    </row>
    <row r="308" s="176" customFormat="true" ht="67.15" hidden="false" customHeight="false" outlineLevel="0" collapsed="false">
      <c r="A308" s="35" t="str">
        <f aca="false">'Case-Specific'!A84</f>
        <v>OPEM-09</v>
      </c>
      <c r="B308" s="36" t="str">
        <f aca="false">VLOOKUP($A308,'Case-Specific'!$A$13:$E$85,2,0)&amp;""</f>
        <v>Describe how long your organization has conducted business in this area.</v>
      </c>
      <c r="C308" s="203" t="str">
        <f aca="false">VLOOKUP($A308,'Case-Specific'!$A$13:$E$85,3,0)&amp;""</f>
        <v/>
      </c>
      <c r="D308" s="194" t="str">
        <f aca="false">IF(LEFT(VLOOKUP($A308,'Case-Specific'!$A$13:$E$85,5,0),21)='Auto Responses'!$A$32,'Auto Responses'!$A$33,VLOOKUP($A308,'Case-Specific'!$A$13:$E$85,4,0))&amp;""</f>
        <v>This question does not apply.</v>
      </c>
      <c r="E308" s="202" t="str">
        <f aca="false">VLOOKUP($A308,'Case-Specific'!$A$13:$E$85,5,0)&amp;""</f>
        <v>Based on the response to REQU-07 on the "START HERE" tab, this question does not apply to this product or service.</v>
      </c>
      <c r="F308" s="212"/>
      <c r="G308" s="197" t="str">
        <f aca="false">VLOOKUP($A308,Questions!$A$2:$X$333,21,0)&amp;""</f>
        <v>Not scored</v>
      </c>
      <c r="H308" s="198"/>
      <c r="I308" s="199" t="str">
        <f aca="false">VLOOKUP($A308,Questions!$A$2:$X$333,23,0)&amp;""</f>
        <v/>
      </c>
      <c r="J308" s="198"/>
      <c r="K308" s="200" t="b">
        <f aca="false">FALSE()</f>
        <v>0</v>
      </c>
      <c r="L308" s="1"/>
    </row>
    <row r="309" s="176" customFormat="true" ht="17.9" hidden="false" customHeight="false" outlineLevel="0" collapsed="false">
      <c r="A309" s="35" t="str">
        <f aca="false">'Case-Specific'!A85</f>
        <v>OPEM-10</v>
      </c>
      <c r="B309" s="36" t="str">
        <f aca="false">VLOOKUP($A309,'Case-Specific'!$A$13:$E$85,2,0)&amp;""</f>
        <v>Do you have existing higher education customers?</v>
      </c>
      <c r="C309" s="199" t="str">
        <f aca="false">VLOOKUP($A309,'Case-Specific'!$A$13:$E$85,3,0)&amp;""</f>
        <v/>
      </c>
      <c r="D309" s="68" t="str">
        <f aca="false">IF(LEFT(VLOOKUP($A309,'Case-Specific'!$A$13:$E$85,5,0),21)='Auto Responses'!$A$32,'Auto Responses'!$A$33,VLOOKUP($A309,'Case-Specific'!$A$13:$E$85,4,0))&amp;""</f>
        <v>This question does not apply.</v>
      </c>
      <c r="E309" s="202" t="str">
        <f aca="false">VLOOKUP($A309,'Case-Specific'!$A$13:$E$85,5,0)&amp;""</f>
        <v>Based on the response to REQU-07 on the "START HERE" tab, this question does not apply to this product or service.</v>
      </c>
      <c r="F309" s="212"/>
      <c r="G309" s="197" t="str">
        <f aca="false">VLOOKUP($A309,Questions!$A$2:$X$333,21,0)&amp;""</f>
        <v>Yes</v>
      </c>
      <c r="H309" s="198"/>
      <c r="I309" s="199" t="str">
        <f aca="false">VLOOKUP($A309,Questions!$A$2:$X$333,23,0)&amp;""</f>
        <v>Minor Importance</v>
      </c>
      <c r="J309" s="198"/>
      <c r="K309" s="213" t="b">
        <f aca="false">FALSE()</f>
        <v>0</v>
      </c>
      <c r="L309" s="1"/>
    </row>
    <row r="310" s="176" customFormat="true" ht="17.9" hidden="false" customHeight="false" outlineLevel="0" collapsed="false">
      <c r="A310" s="31" t="str">
        <f aca="false">VLOOKUP(LEFT($A311,4),'Auto Responses'!$N$4:$O$38,2,0)&amp;""</f>
        <v> AI Qualifying Questions</v>
      </c>
      <c r="B310" s="42"/>
      <c r="C310" s="43"/>
      <c r="D310" s="43"/>
      <c r="E310" s="204"/>
      <c r="F310" s="192" t="s">
        <v>454</v>
      </c>
      <c r="G310" s="201" t="s">
        <v>449</v>
      </c>
      <c r="H310" s="201" t="s">
        <v>450</v>
      </c>
      <c r="I310" s="201" t="s">
        <v>451</v>
      </c>
      <c r="J310" s="201" t="s">
        <v>452</v>
      </c>
      <c r="K310" s="43"/>
      <c r="L310" s="1"/>
      <c r="M310" s="1"/>
      <c r="N310" s="1"/>
    </row>
    <row r="311" s="176" customFormat="true" ht="34.3" hidden="false" customHeight="false" outlineLevel="0" collapsed="false">
      <c r="A311" s="35" t="str">
        <f aca="false">AI!$A$20</f>
        <v>AIQU-01</v>
      </c>
      <c r="B311" s="36" t="str">
        <f aca="false">VLOOKUP($A311,AI!$A$13:$E$55,2,0)&amp;""</f>
        <v>Does your solution leverage machine learning (ML) or do you plan to do so in the next 12 months?</v>
      </c>
      <c r="C311" s="199" t="str">
        <f aca="false">VLOOKUP($A311,AI!$A$13:$E$55,3,0)&amp;""</f>
        <v/>
      </c>
      <c r="D311" s="68" t="str">
        <f aca="false">IF(LEFT(VLOOKUP($A311,AI!$A$13:$E$55,5,0),21)='Auto Responses'!$A$32,'Auto Responses'!$A$33,VLOOKUP($A311,AI!$A$13:$E$55,4,0))&amp;""</f>
        <v>This question does not apply.</v>
      </c>
      <c r="E311" s="206" t="str">
        <f aca="false">VLOOKUP($A311,AI!$A$13:$E$55,5,0)&amp;""</f>
        <v>Based on the response to REQU-04 on the "START HERE" tab, this question does not apply to this product or service.</v>
      </c>
      <c r="F311" s="212"/>
      <c r="G311" s="197" t="str">
        <f aca="false">VLOOKUP($A311,Questions!$A$2:$X$333,21,0)&amp;""</f>
        <v>Not scored</v>
      </c>
      <c r="H311" s="198"/>
      <c r="I311" s="199" t="str">
        <f aca="false">VLOOKUP($A311,Questions!$A$2:$X$333,23,0)&amp;""</f>
        <v/>
      </c>
      <c r="J311" s="198"/>
      <c r="K311" s="200" t="b">
        <f aca="false">FALSE()</f>
        <v>0</v>
      </c>
      <c r="L311" s="1"/>
    </row>
    <row r="312" s="1" customFormat="true" ht="34.3" hidden="false" customHeight="false" outlineLevel="0" collapsed="false">
      <c r="A312" s="35" t="str">
        <f aca="false">AI!$A$21</f>
        <v>AIQU-02</v>
      </c>
      <c r="B312" s="36" t="str">
        <f aca="false">VLOOKUP($A312,AI!$A$13:$E$55,2,0)&amp;""</f>
        <v>Does your solution leverage a large language model (LLM) or do you plan to do so in the next 12 months?</v>
      </c>
      <c r="C312" s="199" t="str">
        <f aca="false">VLOOKUP($A312,AI!$A$13:$E$55,3,0)&amp;""</f>
        <v/>
      </c>
      <c r="D312" s="68" t="str">
        <f aca="false">IF(LEFT(VLOOKUP($A312,AI!$A$13:$E$55,5,0),21)='Auto Responses'!$A$32,'Auto Responses'!$A$33,VLOOKUP($A312,AI!$A$13:$E$55,4,0))&amp;""</f>
        <v>This question does not apply.</v>
      </c>
      <c r="E312" s="206" t="str">
        <f aca="false">VLOOKUP($A312,AI!$A$13:$E$55,5,0)&amp;""</f>
        <v>Based on the response to REQU-04 on the "START HERE" tab, this question does not apply to this product or service.</v>
      </c>
      <c r="F312" s="212"/>
      <c r="G312" s="197" t="str">
        <f aca="false">VLOOKUP($A312,Questions!$A$2:$X$333,21,0)&amp;""</f>
        <v>Not scored</v>
      </c>
      <c r="H312" s="198"/>
      <c r="I312" s="199" t="str">
        <f aca="false">VLOOKUP($A312,Questions!$A$2:$X$333,23,0)&amp;""</f>
        <v/>
      </c>
      <c r="J312" s="198"/>
      <c r="K312" s="200" t="b">
        <f aca="false">FALSE()</f>
        <v>0</v>
      </c>
      <c r="M312" s="176"/>
      <c r="N312" s="176"/>
    </row>
    <row r="313" s="176" customFormat="true" ht="17.9" hidden="false" customHeight="false" outlineLevel="0" collapsed="false">
      <c r="A313" s="31" t="str">
        <f aca="false">VLOOKUP(LEFT($A314,4),'Auto Responses'!$N$4:$O$38,2,0)&amp;""</f>
        <v> General AI Questions</v>
      </c>
      <c r="B313" s="42"/>
      <c r="C313" s="43"/>
      <c r="D313" s="43"/>
      <c r="E313" s="204"/>
      <c r="F313" s="192" t="s">
        <v>454</v>
      </c>
      <c r="G313" s="201" t="s">
        <v>449</v>
      </c>
      <c r="H313" s="201" t="s">
        <v>450</v>
      </c>
      <c r="I313" s="201" t="s">
        <v>451</v>
      </c>
      <c r="J313" s="201" t="s">
        <v>452</v>
      </c>
      <c r="K313" s="43"/>
      <c r="L313" s="1"/>
      <c r="M313" s="1"/>
      <c r="N313" s="1"/>
    </row>
    <row r="314" s="176" customFormat="true" ht="50.7" hidden="false" customHeight="false" outlineLevel="0" collapsed="false">
      <c r="A314" s="35" t="str">
        <f aca="false">AI!$A$23</f>
        <v>AIGN-01</v>
      </c>
      <c r="B314" s="36" t="str">
        <f aca="false">VLOOKUP($A314,AI!$A$13:$E$55,2,0)&amp;""</f>
        <v>Does your solution have an AI risk model when developing or implementing your solution's AI model?*</v>
      </c>
      <c r="C314" s="199" t="str">
        <f aca="false">VLOOKUP($A314,AI!$A$13:$E$55,3,0)&amp;""</f>
        <v/>
      </c>
      <c r="D314" s="68" t="str">
        <f aca="false">IF(LEFT(VLOOKUP($A314,AI!$A$13:$E$55,5,0),21)='Auto Responses'!$A$32,'Auto Responses'!$A$33,VLOOKUP($A314,AI!$A$13:$E$55,4,0))&amp;""</f>
        <v>This question does not apply.</v>
      </c>
      <c r="E314" s="206" t="str">
        <f aca="false">VLOOKUP($A314,AI!$A$13:$E$55,5,0)&amp;""</f>
        <v>Based on the response to REQU-04 on the "START HERE" tab, this question does not apply to this product or service.</v>
      </c>
      <c r="F314" s="212"/>
      <c r="G314" s="197" t="str">
        <f aca="false">VLOOKUP($A314,Questions!$A$2:$X$333,21,0)&amp;""</f>
        <v>Yes</v>
      </c>
      <c r="H314" s="198"/>
      <c r="I314" s="199" t="str">
        <f aca="false">VLOOKUP($A314,Questions!$A$2:$X$333,23,0)&amp;""</f>
        <v>Critical Importance</v>
      </c>
      <c r="J314" s="198"/>
      <c r="K314" s="200" t="b">
        <f aca="false">FALSE()</f>
        <v>0</v>
      </c>
      <c r="L314" s="1"/>
    </row>
    <row r="315" s="176" customFormat="true" ht="67.15" hidden="false" customHeight="false" outlineLevel="0" collapsed="false">
      <c r="A315" s="35" t="str">
        <f aca="false">AI!$A$24</f>
        <v>AIGN-02</v>
      </c>
      <c r="B315" s="36" t="str">
        <f aca="false">VLOOKUP($A315,AI!$A$13:$E$55,2,0)&amp;""</f>
        <v>Can your solution's AI features be disabled by tenant and/or user?*</v>
      </c>
      <c r="C315" s="199" t="str">
        <f aca="false">VLOOKUP($A315,AI!$A$13:$E$55,3,0)&amp;""</f>
        <v/>
      </c>
      <c r="D315" s="68" t="str">
        <f aca="false">IF(LEFT(VLOOKUP($A315,AI!$A$13:$E$55,5,0),21)='Auto Responses'!$A$32,'Auto Responses'!$A$33,VLOOKUP($A315,AI!$A$13:$E$55,4,0))&amp;""</f>
        <v>This question does not apply.</v>
      </c>
      <c r="E315" s="206" t="str">
        <f aca="false">VLOOKUP($A315,AI!$A$13:$E$55,5,0)&amp;""</f>
        <v>Based on the response to REQU-04 on the "START HERE" tab, this question does not apply to this product or service.</v>
      </c>
      <c r="F315" s="212"/>
      <c r="G315" s="197" t="str">
        <f aca="false">VLOOKUP($A315,Questions!$A$2:$X$333,21,0)&amp;""</f>
        <v>Yes</v>
      </c>
      <c r="H315" s="198"/>
      <c r="I315" s="199" t="str">
        <f aca="false">VLOOKUP($A315,Questions!$A$2:$X$333,23,0)&amp;""</f>
        <v>Critical Importance</v>
      </c>
      <c r="J315" s="198"/>
      <c r="K315" s="200" t="b">
        <f aca="false">FALSE()</f>
        <v>0</v>
      </c>
      <c r="L315" s="1"/>
    </row>
    <row r="316" s="176" customFormat="true" ht="83.55" hidden="false" customHeight="false" outlineLevel="0" collapsed="false">
      <c r="A316" s="35" t="str">
        <f aca="false">AI!$A$25</f>
        <v>AIGN-03</v>
      </c>
      <c r="B316" s="36" t="str">
        <f aca="false">VLOOKUP($A316,AI!$A$13:$E$55,2,0)&amp;""</f>
        <v>Have your staff completed responsible AI training?*</v>
      </c>
      <c r="C316" s="199" t="str">
        <f aca="false">VLOOKUP($A316,AI!$A$13:$E$55,3,0)&amp;""</f>
        <v/>
      </c>
      <c r="D316" s="68" t="str">
        <f aca="false">IF(LEFT(VLOOKUP($A316,AI!$A$13:$E$55,5,0),21)='Auto Responses'!$A$32,'Auto Responses'!$A$33,VLOOKUP($A316,AI!$A$13:$E$55,4,0))&amp;""</f>
        <v>This question does not apply.</v>
      </c>
      <c r="E316" s="206" t="str">
        <f aca="false">VLOOKUP($A316,AI!$A$13:$E$55,5,0)&amp;""</f>
        <v>Based on the response to REQU-04 on the "START HERE" tab, this question does not apply to this product or service.</v>
      </c>
      <c r="F316" s="212"/>
      <c r="G316" s="197" t="str">
        <f aca="false">VLOOKUP($A316,Questions!$A$2:$X$333,21,0)&amp;""</f>
        <v>Yes</v>
      </c>
      <c r="H316" s="198"/>
      <c r="I316" s="199" t="str">
        <f aca="false">VLOOKUP($A316,Questions!$A$2:$X$333,23,0)&amp;""</f>
        <v>Critical Importance</v>
      </c>
      <c r="J316" s="198"/>
      <c r="K316" s="200" t="b">
        <f aca="false">FALSE()</f>
        <v>0</v>
      </c>
      <c r="L316" s="1"/>
    </row>
    <row r="317" s="176" customFormat="true" ht="83.55" hidden="false" customHeight="false" outlineLevel="0" collapsed="false">
      <c r="A317" s="35" t="str">
        <f aca="false">AI!$A$26</f>
        <v>AIGN-04</v>
      </c>
      <c r="B317" s="36" t="str">
        <f aca="false">VLOOKUP($A317,AI!$A$13:$E$55,2,0)&amp;""</f>
        <v>Please describe the capabilities of your solution's AI features.</v>
      </c>
      <c r="C317" s="203" t="str">
        <f aca="false">VLOOKUP($A317,AI!$A$13:$E$55,3,0)&amp;""</f>
        <v/>
      </c>
      <c r="D317" s="194" t="str">
        <f aca="false">IF(LEFT(VLOOKUP($A317,AI!$A$13:$E$55,5,0),21)='Auto Responses'!$A$32,'Auto Responses'!$A$33,VLOOKUP($A317,AI!$A$13:$E$55,4,0))&amp;""</f>
        <v>This question does not apply.</v>
      </c>
      <c r="E317" s="206" t="str">
        <f aca="false">VLOOKUP($A317,AI!$A$13:$E$55,5,0)&amp;""</f>
        <v>Based on the response to REQU-04 on the "START HERE" tab, this question does not apply to this product or service.</v>
      </c>
      <c r="F317" s="212"/>
      <c r="G317" s="197" t="str">
        <f aca="false">VLOOKUP($A317,Questions!$A$2:$X$333,21,0)&amp;""</f>
        <v>Not scored</v>
      </c>
      <c r="H317" s="198"/>
      <c r="I317" s="199" t="str">
        <f aca="false">VLOOKUP($A317,Questions!$A$2:$X$333,23,0)&amp;""</f>
        <v/>
      </c>
      <c r="J317" s="198"/>
      <c r="K317" s="200" t="b">
        <f aca="false">FALSE()</f>
        <v>0</v>
      </c>
      <c r="L317" s="1"/>
    </row>
    <row r="318" s="1" customFormat="true" ht="116.4" hidden="false" customHeight="false" outlineLevel="0" collapsed="false">
      <c r="A318" s="35" t="str">
        <f aca="false">AI!$A$27</f>
        <v>AIGN-05</v>
      </c>
      <c r="B318" s="36" t="str">
        <f aca="false">VLOOKUP($A318,AI!$A$13:$E$55,2,0)&amp;""</f>
        <v>Does your solution support business rules to protect sensitive data from being ingested by the AI model?</v>
      </c>
      <c r="C318" s="199" t="str">
        <f aca="false">VLOOKUP($A318,AI!$A$13:$E$55,3,0)&amp;""</f>
        <v/>
      </c>
      <c r="D318" s="68" t="str">
        <f aca="false">IF(LEFT(VLOOKUP($A318,AI!$A$13:$E$55,5,0),21)='Auto Responses'!$A$32,'Auto Responses'!$A$33,VLOOKUP($A318,AI!$A$13:$E$55,4,0))&amp;""</f>
        <v>This question does not apply.</v>
      </c>
      <c r="E318" s="206" t="str">
        <f aca="false">VLOOKUP($A318,AI!$A$13:$E$55,5,0)&amp;""</f>
        <v>Based on the response to REQU-04 on the "START HERE" tab, this question does not apply to this product or service.</v>
      </c>
      <c r="F318" s="212"/>
      <c r="G318" s="197" t="str">
        <f aca="false">VLOOKUP($A318,Questions!$A$2:$X$333,21,0)&amp;""</f>
        <v>Yes</v>
      </c>
      <c r="H318" s="198"/>
      <c r="I318" s="199" t="str">
        <f aca="false">VLOOKUP($A318,Questions!$A$2:$X$333,23,0)&amp;""</f>
        <v>Standard Importance</v>
      </c>
      <c r="J318" s="198"/>
      <c r="K318" s="200" t="b">
        <f aca="false">FALSE()</f>
        <v>0</v>
      </c>
      <c r="M318" s="176"/>
      <c r="N318" s="176"/>
    </row>
    <row r="319" s="176" customFormat="true" ht="17.9" hidden="false" customHeight="false" outlineLevel="0" collapsed="false">
      <c r="A319" s="31" t="str">
        <f aca="false">VLOOKUP(LEFT($A320,4),'Auto Responses'!$N$4:$O$38,2,0)&amp;""</f>
        <v> AI Policy</v>
      </c>
      <c r="B319" s="42"/>
      <c r="C319" s="43"/>
      <c r="D319" s="43"/>
      <c r="E319" s="204"/>
      <c r="F319" s="192" t="s">
        <v>454</v>
      </c>
      <c r="G319" s="201" t="s">
        <v>449</v>
      </c>
      <c r="H319" s="201" t="s">
        <v>450</v>
      </c>
      <c r="I319" s="201" t="s">
        <v>451</v>
      </c>
      <c r="J319" s="201" t="s">
        <v>452</v>
      </c>
      <c r="K319" s="43"/>
      <c r="L319" s="1"/>
      <c r="M319" s="1"/>
      <c r="N319" s="1"/>
    </row>
    <row r="320" s="176" customFormat="true" ht="67.15" hidden="false" customHeight="false" outlineLevel="0" collapsed="false">
      <c r="A320" s="35" t="str">
        <f aca="false">AI!$A$29</f>
        <v>AIPL-01</v>
      </c>
      <c r="B320" s="36" t="str">
        <f aca="false">VLOOKUP($A320,AI!$A$13:$E$55,2,0)&amp;""</f>
        <v>Are your AI developer's policies, processes, procedures, and practices across the organization related to the mapping, measuring, and managing of AI risks conspicuously posted, unambiguous, and implemented effectively?*</v>
      </c>
      <c r="C320" s="199" t="str">
        <f aca="false">VLOOKUP($A320,AI!$A$13:$E$55,3,0)&amp;""</f>
        <v/>
      </c>
      <c r="D320" s="68" t="str">
        <f aca="false">IF(LEFT(VLOOKUP($A320,AI!$A$13:$E$55,5,0),21)='Auto Responses'!$A$32,'Auto Responses'!$A$33,VLOOKUP($A320,AI!$A$13:$E$55,4,0))&amp;""</f>
        <v>This question does not apply.</v>
      </c>
      <c r="E320" s="206" t="str">
        <f aca="false">VLOOKUP($A320,AI!$A$13:$E$55,5,0)&amp;""</f>
        <v>Based on the response to REQU-04 on the "START HERE" tab, this question does not apply to this product or service.</v>
      </c>
      <c r="F320" s="212"/>
      <c r="G320" s="197" t="str">
        <f aca="false">VLOOKUP($A320,Questions!$A$2:$X$333,21,0)&amp;""</f>
        <v>Yes</v>
      </c>
      <c r="H320" s="198"/>
      <c r="I320" s="199" t="str">
        <f aca="false">VLOOKUP($A320,Questions!$A$2:$X$333,23,0)&amp;""</f>
        <v>Critical Importance</v>
      </c>
      <c r="J320" s="198"/>
      <c r="K320" s="200" t="b">
        <f aca="false">FALSE()</f>
        <v>0</v>
      </c>
      <c r="L320" s="1"/>
    </row>
    <row r="321" s="176" customFormat="true" ht="67.15" hidden="false" customHeight="false" outlineLevel="0" collapsed="false">
      <c r="A321" s="35" t="str">
        <f aca="false">AI!$A$30</f>
        <v>AIPL-02</v>
      </c>
      <c r="B321" s="36" t="str">
        <f aca="false">VLOOKUP($A321,AI!$A$13:$E$55,2,0)&amp;""</f>
        <v>Have you identified and measured AI risks?*</v>
      </c>
      <c r="C321" s="199" t="str">
        <f aca="false">VLOOKUP($A321,AI!$A$13:$E$55,3,0)&amp;""</f>
        <v/>
      </c>
      <c r="D321" s="68" t="str">
        <f aca="false">IF(LEFT(VLOOKUP($A321,AI!$A$13:$E$55,5,0),21)='Auto Responses'!$A$32,'Auto Responses'!$A$33,VLOOKUP($A321,AI!$A$13:$E$55,4,0))&amp;""</f>
        <v>This question does not apply.</v>
      </c>
      <c r="E321" s="206" t="str">
        <f aca="false">VLOOKUP($A321,AI!$A$13:$E$55,5,0)&amp;""</f>
        <v>Based on the response to REQU-04 on the "START HERE" tab, this question does not apply to this product or service.</v>
      </c>
      <c r="F321" s="212"/>
      <c r="G321" s="197" t="str">
        <f aca="false">VLOOKUP($A321,Questions!$A$2:$X$333,21,0)&amp;""</f>
        <v>Yes</v>
      </c>
      <c r="H321" s="198"/>
      <c r="I321" s="199" t="str">
        <f aca="false">VLOOKUP($A321,Questions!$A$2:$X$333,23,0)&amp;""</f>
        <v>Critical Importance</v>
      </c>
      <c r="J321" s="198"/>
      <c r="K321" s="200" t="b">
        <f aca="false">FALSE()</f>
        <v>0</v>
      </c>
      <c r="L321" s="1"/>
    </row>
    <row r="322" s="176" customFormat="true" ht="165" hidden="false" customHeight="false" outlineLevel="0" collapsed="false">
      <c r="A322" s="35" t="str">
        <f aca="false">AI!$A$31</f>
        <v>AIPL-03</v>
      </c>
      <c r="B322" s="36" t="str">
        <f aca="false">VLOOKUP($A322,AI!$A$13:$E$55,2,0)&amp;""</f>
        <v>In the event of an incident, can your solution's AI features be disabled in a timely manner?*</v>
      </c>
      <c r="C322" s="199" t="str">
        <f aca="false">VLOOKUP($A322,AI!$A$13:$E$55,3,0)&amp;""</f>
        <v/>
      </c>
      <c r="D322" s="68" t="str">
        <f aca="false">IF(LEFT(VLOOKUP($A322,AI!$A$13:$E$55,5,0),21)='Auto Responses'!$A$32,'Auto Responses'!$A$33,VLOOKUP($A322,AI!$A$13:$E$55,4,0))&amp;""</f>
        <v>This question does not apply.</v>
      </c>
      <c r="E322" s="206" t="str">
        <f aca="false">VLOOKUP($A322,AI!$A$13:$E$55,5,0)&amp;""</f>
        <v>Based on the response to REQU-04 on the "START HERE" tab, this question does not apply to this product or service.</v>
      </c>
      <c r="F322" s="212"/>
      <c r="G322" s="197" t="str">
        <f aca="false">VLOOKUP($A322,Questions!$A$2:$X$333,21,0)&amp;""</f>
        <v>Yes</v>
      </c>
      <c r="H322" s="198"/>
      <c r="I322" s="199" t="str">
        <f aca="false">VLOOKUP($A322,Questions!$A$2:$X$333,23,0)&amp;""</f>
        <v>Critical Importance</v>
      </c>
      <c r="J322" s="198"/>
      <c r="K322" s="200" t="b">
        <f aca="false">FALSE()</f>
        <v>0</v>
      </c>
      <c r="L322" s="1"/>
    </row>
    <row r="323" s="176" customFormat="true" ht="182.05" hidden="false" customHeight="false" outlineLevel="0" collapsed="false">
      <c r="A323" s="35" t="str">
        <f aca="false">AI!$A$32</f>
        <v>AIPL-04</v>
      </c>
      <c r="B323" s="36" t="str">
        <f aca="false">VLOOKUP($A323,AI!$A$13:$E$55,2,0)&amp;""</f>
        <v>If disabled because of an incident, can your solution's AI features be re-enabled in a timely manner?*</v>
      </c>
      <c r="C323" s="199" t="str">
        <f aca="false">VLOOKUP($A323,AI!$A$13:$E$55,3,0)&amp;""</f>
        <v/>
      </c>
      <c r="D323" s="68" t="str">
        <f aca="false">IF(LEFT(VLOOKUP($A323,AI!$A$13:$E$55,5,0),21)='Auto Responses'!$A$32,'Auto Responses'!$A$33,VLOOKUP($A323,AI!$A$13:$E$55,4,0))&amp;""</f>
        <v>This question does not apply.</v>
      </c>
      <c r="E323" s="206" t="str">
        <f aca="false">VLOOKUP($A323,AI!$A$13:$E$55,5,0)&amp;""</f>
        <v>Based on the response to REQU-04 on the "START HERE" tab, this question does not apply to this product or service.</v>
      </c>
      <c r="F323" s="212"/>
      <c r="G323" s="197" t="str">
        <f aca="false">VLOOKUP($A323,Questions!$A$2:$X$333,21,0)&amp;""</f>
        <v>Yes</v>
      </c>
      <c r="H323" s="198"/>
      <c r="I323" s="199" t="str">
        <f aca="false">VLOOKUP($A323,Questions!$A$2:$X$333,23,0)&amp;""</f>
        <v>Critical Importance</v>
      </c>
      <c r="J323" s="198"/>
      <c r="K323" s="200" t="b">
        <f aca="false">FALSE()</f>
        <v>0</v>
      </c>
      <c r="L323" s="1"/>
    </row>
    <row r="324" s="1" customFormat="true" ht="83.55" hidden="false" customHeight="false" outlineLevel="0" collapsed="false">
      <c r="A324" s="35" t="str">
        <f aca="false">AI!$A$33</f>
        <v>AIPL-05</v>
      </c>
      <c r="B324" s="36" t="str">
        <f aca="false">VLOOKUP($A324,AI!$A$13:$E$55,2,0)&amp;""</f>
        <v>Do you have documented technical and procedural processes to address potential negative impacts of AI as described by the AI Risk Management Framework (RMF)?</v>
      </c>
      <c r="C324" s="199" t="str">
        <f aca="false">VLOOKUP($A324,AI!$A$13:$E$55,3,0)&amp;""</f>
        <v/>
      </c>
      <c r="D324" s="68" t="str">
        <f aca="false">IF(LEFT(VLOOKUP($A324,AI!$A$13:$E$55,5,0),21)='Auto Responses'!$A$32,'Auto Responses'!$A$33,VLOOKUP($A324,AI!$A$13:$E$55,4,0))&amp;""</f>
        <v>This question does not apply.</v>
      </c>
      <c r="E324" s="206" t="str">
        <f aca="false">VLOOKUP($A324,AI!$A$13:$E$55,5,0)&amp;""</f>
        <v>Based on the response to REQU-04 on the "START HERE" tab, this question does not apply to this product or service.</v>
      </c>
      <c r="F324" s="212"/>
      <c r="G324" s="197" t="str">
        <f aca="false">VLOOKUP($A324,Questions!$A$2:$X$333,21,0)&amp;""</f>
        <v>Yes</v>
      </c>
      <c r="H324" s="198"/>
      <c r="I324" s="199" t="str">
        <f aca="false">VLOOKUP($A324,Questions!$A$2:$X$333,23,0)&amp;""</f>
        <v>Minor Importance</v>
      </c>
      <c r="J324" s="198"/>
      <c r="K324" s="200" t="b">
        <f aca="false">FALSE()</f>
        <v>0</v>
      </c>
      <c r="M324" s="176"/>
      <c r="N324" s="176"/>
    </row>
    <row r="325" s="176" customFormat="true" ht="17.9" hidden="false" customHeight="false" outlineLevel="0" collapsed="false">
      <c r="A325" s="31" t="str">
        <f aca="false">VLOOKUP(LEFT($A326,4),'Auto Responses'!$N$4:$O$38,2,0)&amp;""</f>
        <v> AI Data Security</v>
      </c>
      <c r="B325" s="42"/>
      <c r="C325" s="43"/>
      <c r="D325" s="43"/>
      <c r="E325" s="204"/>
      <c r="F325" s="192" t="s">
        <v>454</v>
      </c>
      <c r="G325" s="201" t="s">
        <v>449</v>
      </c>
      <c r="H325" s="201" t="s">
        <v>450</v>
      </c>
      <c r="I325" s="201" t="s">
        <v>451</v>
      </c>
      <c r="J325" s="201" t="s">
        <v>452</v>
      </c>
      <c r="K325" s="43"/>
      <c r="L325" s="1"/>
      <c r="M325" s="1"/>
      <c r="N325" s="1"/>
    </row>
    <row r="326" s="176" customFormat="true" ht="83.55" hidden="false" customHeight="false" outlineLevel="0" collapsed="false">
      <c r="A326" s="35" t="str">
        <f aca="false">AI!$A$35</f>
        <v>AISC-01</v>
      </c>
      <c r="B326" s="36" t="str">
        <f aca="false">VLOOKUP($A326,AI!$A$13:$E$55,2,0)&amp;""</f>
        <v>If sensitive data is introduced to your solution's AI model, can the data be removed from the AI model by request?*</v>
      </c>
      <c r="C326" s="199" t="str">
        <f aca="false">VLOOKUP($A326,AI!$A$13:$E$55,3,0)&amp;""</f>
        <v/>
      </c>
      <c r="D326" s="68" t="str">
        <f aca="false">IF(LEFT(VLOOKUP($A326,AI!$A$13:$E$55,5,0),21)='Auto Responses'!$A$32,'Auto Responses'!$A$33,VLOOKUP($A326,AI!$A$13:$E$55,4,0))&amp;""</f>
        <v>This question does not apply.</v>
      </c>
      <c r="E326" s="206" t="str">
        <f aca="false">VLOOKUP($A326,AI!$A$13:$E$55,5,0)&amp;""</f>
        <v>Based on the response to REQU-04 on the "START HERE" tab, this question does not apply to this product or service.</v>
      </c>
      <c r="F326" s="212"/>
      <c r="G326" s="197" t="str">
        <f aca="false">VLOOKUP($A326,Questions!$A$2:$X$333,21,0)&amp;""</f>
        <v>Yes</v>
      </c>
      <c r="H326" s="198"/>
      <c r="I326" s="199" t="str">
        <f aca="false">VLOOKUP($A326,Questions!$A$2:$X$333,23,0)&amp;""</f>
        <v>Critical Importance</v>
      </c>
      <c r="J326" s="198"/>
      <c r="K326" s="200" t="b">
        <f aca="false">FALSE()</f>
        <v>0</v>
      </c>
      <c r="L326" s="1"/>
    </row>
    <row r="327" s="176" customFormat="true" ht="83.55" hidden="false" customHeight="false" outlineLevel="0" collapsed="false">
      <c r="A327" s="35" t="str">
        <f aca="false">AI!$A$36</f>
        <v>AISC-02</v>
      </c>
      <c r="B327" s="36" t="str">
        <f aca="false">VLOOKUP($A327,AI!$A$13:$E$55,2,0)&amp;""</f>
        <v>Is user input data used to influence your solution's AI model?*</v>
      </c>
      <c r="C327" s="199" t="str">
        <f aca="false">VLOOKUP($A327,AI!$A$13:$E$55,3,0)&amp;""</f>
        <v/>
      </c>
      <c r="D327" s="68" t="str">
        <f aca="false">IF(LEFT(VLOOKUP($A327,AI!$A$13:$E$55,5,0),21)='Auto Responses'!$A$32,'Auto Responses'!$A$33,VLOOKUP($A327,AI!$A$13:$E$55,4,0))&amp;""</f>
        <v>This question does not apply.</v>
      </c>
      <c r="E327" s="206" t="str">
        <f aca="false">VLOOKUP($A327,AI!$A$13:$E$55,5,0)&amp;""</f>
        <v>Based on the response to REQU-04 on the "START HERE" tab, this question does not apply to this product or service.</v>
      </c>
      <c r="F327" s="212"/>
      <c r="G327" s="197" t="str">
        <f aca="false">VLOOKUP($A327,Questions!$A$2:$X$333,21,0)&amp;""</f>
        <v>No</v>
      </c>
      <c r="H327" s="198"/>
      <c r="I327" s="199" t="str">
        <f aca="false">VLOOKUP($A327,Questions!$A$2:$X$333,23,0)&amp;""</f>
        <v>Critical Importance</v>
      </c>
      <c r="J327" s="198"/>
      <c r="K327" s="200" t="b">
        <f aca="false">FALSE()</f>
        <v>0</v>
      </c>
      <c r="L327" s="1"/>
    </row>
    <row r="328" s="176" customFormat="true" ht="83.55" hidden="false" customHeight="false" outlineLevel="0" collapsed="false">
      <c r="A328" s="35" t="str">
        <f aca="false">AI!$A$37</f>
        <v>AISC-03</v>
      </c>
      <c r="B328" s="36" t="str">
        <f aca="false">VLOOKUP($A328,AI!$A$13:$E$55,2,0)&amp;""</f>
        <v>Do you provide logging for your solution's AI feature(s) that includes user, date, and action taken?*</v>
      </c>
      <c r="C328" s="199" t="str">
        <f aca="false">VLOOKUP($A328,AI!$A$13:$E$55,3,0)&amp;""</f>
        <v/>
      </c>
      <c r="D328" s="68" t="str">
        <f aca="false">IF(LEFT(VLOOKUP($A328,AI!$A$13:$E$55,5,0),21)='Auto Responses'!$A$32,'Auto Responses'!$A$33,VLOOKUP($A328,AI!$A$13:$E$55,4,0))&amp;""</f>
        <v>This question does not apply.</v>
      </c>
      <c r="E328" s="206" t="str">
        <f aca="false">VLOOKUP($A328,AI!$A$13:$E$55,5,0)&amp;""</f>
        <v>Based on the response to REQU-04 on the "START HERE" tab, this question does not apply to this product or service.</v>
      </c>
      <c r="F328" s="212"/>
      <c r="G328" s="197" t="str">
        <f aca="false">VLOOKUP($A328,Questions!$A$2:$X$333,21,0)&amp;""</f>
        <v>Yes</v>
      </c>
      <c r="H328" s="198"/>
      <c r="I328" s="199" t="str">
        <f aca="false">VLOOKUP($A328,Questions!$A$2:$X$333,23,0)&amp;""</f>
        <v>Critical Importance</v>
      </c>
      <c r="J328" s="198"/>
      <c r="K328" s="200" t="b">
        <f aca="false">FALSE()</f>
        <v>0</v>
      </c>
      <c r="L328" s="1"/>
    </row>
    <row r="329" s="176" customFormat="true" ht="99.95" hidden="false" customHeight="false" outlineLevel="0" collapsed="false">
      <c r="A329" s="35" t="str">
        <f aca="false">AI!$A$38</f>
        <v>AISC-04</v>
      </c>
      <c r="B329" s="36" t="str">
        <f aca="false">VLOOKUP($A329,AI!$A$13:$E$55,2,0)&amp;""</f>
        <v>Please describe how you validate user inputs.</v>
      </c>
      <c r="C329" s="203" t="str">
        <f aca="false">VLOOKUP($A329,AI!$A$13:$E$55,3,0)&amp;""</f>
        <v/>
      </c>
      <c r="D329" s="214" t="str">
        <f aca="false">IF(LEFT(VLOOKUP($A329,AI!$A$13:$E$55,5,0),21)='Auto Responses'!$A$32,'Auto Responses'!$A$33,VLOOKUP($A329,AI!$A$13:$E$55,4,0))&amp;""</f>
        <v>This question does not apply.</v>
      </c>
      <c r="E329" s="206" t="str">
        <f aca="false">VLOOKUP($A329,AI!$A$13:$E$55,5,0)&amp;""</f>
        <v>Based on the response to REQU-04 on the "START HERE" tab, this question does not apply to this product or service.</v>
      </c>
      <c r="F329" s="212"/>
      <c r="G329" s="197" t="str">
        <f aca="false">VLOOKUP($A329,Questions!$A$2:$X$333,21,0)&amp;""</f>
        <v>Not scored</v>
      </c>
      <c r="H329" s="198"/>
      <c r="I329" s="199" t="str">
        <f aca="false">VLOOKUP($A329,Questions!$A$2:$X$333,23,0)&amp;""</f>
        <v/>
      </c>
      <c r="J329" s="198"/>
      <c r="K329" s="200" t="b">
        <f aca="false">FALSE()</f>
        <v>0</v>
      </c>
      <c r="L329" s="1"/>
    </row>
    <row r="330" s="176" customFormat="true" ht="99.95" hidden="false" customHeight="false" outlineLevel="0" collapsed="false">
      <c r="A330" s="35" t="str">
        <f aca="false">AI!$A$39</f>
        <v>AISC-05</v>
      </c>
      <c r="B330" s="36" t="str">
        <f aca="false">VLOOKUP($A330,AI!$A$13:$E$55,2,0)&amp;""</f>
        <v>Do you plan for and mitigate supply-chain risk related to your AI features?</v>
      </c>
      <c r="C330" s="199" t="str">
        <f aca="false">VLOOKUP($A330,AI!$A$13:$E$55,3,0)&amp;""</f>
        <v/>
      </c>
      <c r="D330" s="68" t="str">
        <f aca="false">IF(LEFT(VLOOKUP($A330,AI!$A$13:$E$55,5,0),21)='Auto Responses'!$A$32,'Auto Responses'!$A$33,VLOOKUP($A330,AI!$A$13:$E$55,4,0))&amp;""</f>
        <v>This question does not apply.</v>
      </c>
      <c r="E330" s="206" t="str">
        <f aca="false">VLOOKUP($A330,AI!$A$13:$E$55,5,0)&amp;""</f>
        <v>Based on the response to REQU-04 on the "START HERE" tab, this question does not apply to this product or service.</v>
      </c>
      <c r="F330" s="212"/>
      <c r="G330" s="197" t="str">
        <f aca="false">VLOOKUP($A330,Questions!$A$2:$X$333,21,0)&amp;""</f>
        <v>Yes</v>
      </c>
      <c r="H330" s="198"/>
      <c r="I330" s="199" t="str">
        <f aca="false">VLOOKUP($A330,Questions!$A$2:$X$333,23,0)&amp;""</f>
        <v>Standard Importance</v>
      </c>
      <c r="J330" s="198"/>
      <c r="K330" s="200" t="b">
        <f aca="false">FALSE()</f>
        <v>0</v>
      </c>
      <c r="L330" s="1"/>
    </row>
    <row r="331" s="176" customFormat="true" ht="17.9" hidden="false" customHeight="false" outlineLevel="0" collapsed="false">
      <c r="A331" s="31" t="str">
        <f aca="false">VLOOKUP(LEFT($A332,4),'Auto Responses'!$N$4:$O$38,2,0)&amp;""</f>
        <v> AI Machine Learning</v>
      </c>
      <c r="B331" s="42"/>
      <c r="C331" s="43"/>
      <c r="D331" s="43"/>
      <c r="E331" s="204"/>
      <c r="F331" s="192" t="s">
        <v>454</v>
      </c>
      <c r="G331" s="201" t="s">
        <v>449</v>
      </c>
      <c r="H331" s="201" t="s">
        <v>450</v>
      </c>
      <c r="I331" s="201" t="s">
        <v>451</v>
      </c>
      <c r="J331" s="201" t="s">
        <v>452</v>
      </c>
      <c r="K331" s="43"/>
      <c r="L331" s="1"/>
      <c r="M331" s="1"/>
      <c r="N331" s="1"/>
    </row>
    <row r="332" s="176" customFormat="true" ht="34.3" hidden="false" customHeight="false" outlineLevel="0" collapsed="false">
      <c r="A332" s="35" t="str">
        <f aca="false">AI!$A$41</f>
        <v>AIML-01</v>
      </c>
      <c r="B332" s="36" t="str">
        <f aca="false">VLOOKUP($A332,AI!$A$13:$E$55,2,0)&amp;""</f>
        <v>Do you separate ML training data from your ML solution data?*</v>
      </c>
      <c r="C332" s="199" t="str">
        <f aca="false">VLOOKUP($A332,AI!$A$13:$E$55,3,0)&amp;""</f>
        <v/>
      </c>
      <c r="D332" s="68" t="str">
        <f aca="false">IF(LEFT(VLOOKUP($A332,AI!$A$13:$E$55,5,0),21)='Auto Responses'!$A$32,'Auto Responses'!$A$33,VLOOKUP($A332,AI!$A$13:$E$55,4,0))&amp;""</f>
        <v>This question does not apply.</v>
      </c>
      <c r="E332" s="206" t="str">
        <f aca="false">VLOOKUP($A332,AI!$A$13:$E$55,5,0)&amp;""</f>
        <v>Based on the response to REQU-04 on the "START HERE" tab, this question does not apply to this product or service.</v>
      </c>
      <c r="F332" s="212"/>
      <c r="G332" s="197" t="str">
        <f aca="false">VLOOKUP($A332,Questions!$A$2:$X$333,21,0)&amp;""</f>
        <v>Yes</v>
      </c>
      <c r="H332" s="198"/>
      <c r="I332" s="199" t="str">
        <f aca="false">VLOOKUP($A332,Questions!$A$2:$X$333,23,0)&amp;""</f>
        <v>Critical Importance</v>
      </c>
      <c r="J332" s="198"/>
      <c r="K332" s="200" t="b">
        <f aca="false">FALSE()</f>
        <v>0</v>
      </c>
      <c r="L332" s="1"/>
    </row>
    <row r="333" s="1" customFormat="true" ht="99.95" hidden="false" customHeight="false" outlineLevel="0" collapsed="false">
      <c r="A333" s="35" t="str">
        <f aca="false">AI!$A$42</f>
        <v>AIML-02</v>
      </c>
      <c r="B333" s="36" t="str">
        <f aca="false">VLOOKUP($A333,AI!$A$13:$E$55,2,0)&amp;""</f>
        <v>Do you authenticate and verify your ML model's feedback?*</v>
      </c>
      <c r="C333" s="199" t="str">
        <f aca="false">VLOOKUP($A333,AI!$A$13:$E$55,3,0)&amp;""</f>
        <v/>
      </c>
      <c r="D333" s="68" t="str">
        <f aca="false">IF(LEFT(VLOOKUP($A333,AI!$A$13:$E$55,5,0),21)='Auto Responses'!$A$32,'Auto Responses'!$A$33,VLOOKUP($A333,AI!$A$13:$E$55,4,0))&amp;""</f>
        <v>This question does not apply.</v>
      </c>
      <c r="E333" s="206" t="str">
        <f aca="false">VLOOKUP($A333,AI!$A$13:$E$55,5,0)&amp;""</f>
        <v>Based on the response to REQU-04 on the "START HERE" tab, this question does not apply to this product or service.</v>
      </c>
      <c r="F333" s="212"/>
      <c r="G333" s="197" t="str">
        <f aca="false">VLOOKUP($A333,Questions!$A$2:$X$333,21,0)&amp;""</f>
        <v>Yes</v>
      </c>
      <c r="H333" s="198"/>
      <c r="I333" s="199" t="str">
        <f aca="false">VLOOKUP($A333,Questions!$A$2:$X$333,23,0)&amp;""</f>
        <v>Critical Importance</v>
      </c>
      <c r="J333" s="198"/>
      <c r="K333" s="200" t="b">
        <f aca="false">FALSE()</f>
        <v>0</v>
      </c>
      <c r="M333" s="176"/>
      <c r="N333" s="176"/>
    </row>
    <row r="334" s="176" customFormat="true" ht="182.05" hidden="false" customHeight="false" outlineLevel="0" collapsed="false">
      <c r="A334" s="35" t="str">
        <f aca="false">AI!$A$43</f>
        <v>AIML-03</v>
      </c>
      <c r="B334" s="36" t="str">
        <f aca="false">VLOOKUP($A334,AI!$A$13:$E$55,2,0)&amp;""</f>
        <v>Is your ML training data vetted, validated, and verified before training the solution's AI model?</v>
      </c>
      <c r="C334" s="199" t="str">
        <f aca="false">VLOOKUP($A334,AI!$A$13:$E$55,3,0)&amp;""</f>
        <v/>
      </c>
      <c r="D334" s="68" t="str">
        <f aca="false">IF(LEFT(VLOOKUP($A334,AI!$A$13:$E$55,5,0),21)='Auto Responses'!$A$32,'Auto Responses'!$A$33,VLOOKUP($A334,AI!$A$13:$E$55,4,0))&amp;""</f>
        <v>This question does not apply.</v>
      </c>
      <c r="E334" s="206" t="str">
        <f aca="false">VLOOKUP($A334,AI!$A$13:$E$55,5,0)&amp;""</f>
        <v>Based on the response to REQU-04 on the "START HERE" tab, this question does not apply to this product or service.</v>
      </c>
      <c r="F334" s="212"/>
      <c r="G334" s="197" t="str">
        <f aca="false">VLOOKUP($A334,Questions!$A$2:$X$333,21,0)&amp;""</f>
        <v>Yes</v>
      </c>
      <c r="H334" s="198"/>
      <c r="I334" s="199" t="str">
        <f aca="false">VLOOKUP($A334,Questions!$A$2:$X$333,23,0)&amp;""</f>
        <v>Standard Importance</v>
      </c>
      <c r="J334" s="198"/>
      <c r="K334" s="200" t="b">
        <f aca="false">FALSE()</f>
        <v>0</v>
      </c>
      <c r="L334" s="1"/>
    </row>
    <row r="335" s="176" customFormat="true" ht="67.15" hidden="false" customHeight="false" outlineLevel="0" collapsed="false">
      <c r="A335" s="35" t="str">
        <f aca="false">AI!$A$44</f>
        <v>AIML-04</v>
      </c>
      <c r="B335" s="36" t="str">
        <f aca="false">VLOOKUP($A335,AI!$A$13:$E$55,2,0)&amp;""</f>
        <v>Is your ML training data monitored and audited?</v>
      </c>
      <c r="C335" s="199" t="str">
        <f aca="false">VLOOKUP($A335,AI!$A$13:$E$55,3,0)&amp;""</f>
        <v/>
      </c>
      <c r="D335" s="68" t="str">
        <f aca="false">IF(LEFT(VLOOKUP($A335,AI!$A$13:$E$55,5,0),21)='Auto Responses'!$A$32,'Auto Responses'!$A$33,VLOOKUP($A335,AI!$A$13:$E$55,4,0))&amp;""</f>
        <v>This question does not apply.</v>
      </c>
      <c r="E335" s="206" t="str">
        <f aca="false">VLOOKUP($A335,AI!$A$13:$E$55,5,0)&amp;""</f>
        <v>Based on the response to REQU-04 on the "START HERE" tab, this question does not apply to this product or service.</v>
      </c>
      <c r="F335" s="212"/>
      <c r="G335" s="197" t="str">
        <f aca="false">VLOOKUP($A335,Questions!$A$2:$X$333,21,0)&amp;""</f>
        <v>Yes</v>
      </c>
      <c r="H335" s="198"/>
      <c r="I335" s="199" t="str">
        <f aca="false">VLOOKUP($A335,Questions!$A$2:$X$333,23,0)&amp;""</f>
        <v>Standard Importance</v>
      </c>
      <c r="J335" s="198"/>
      <c r="K335" s="200" t="b">
        <f aca="false">FALSE()</f>
        <v>0</v>
      </c>
      <c r="L335" s="1"/>
    </row>
    <row r="336" s="176" customFormat="true" ht="50.7" hidden="false" customHeight="false" outlineLevel="0" collapsed="false">
      <c r="A336" s="35" t="str">
        <f aca="false">AI!$A$45</f>
        <v>AIML-05</v>
      </c>
      <c r="B336" s="36" t="str">
        <f aca="false">VLOOKUP($A336,AI!$A$13:$E$55,2,0)&amp;""</f>
        <v>Have you limited access to your ML training data to only staff with an explicit business need?</v>
      </c>
      <c r="C336" s="199" t="str">
        <f aca="false">VLOOKUP($A336,AI!$A$13:$E$55,3,0)&amp;""</f>
        <v/>
      </c>
      <c r="D336" s="68" t="str">
        <f aca="false">IF(LEFT(VLOOKUP($A336,AI!$A$13:$E$55,5,0),21)='Auto Responses'!$A$32,'Auto Responses'!$A$33,VLOOKUP($A336,AI!$A$13:$E$55,4,0))&amp;""</f>
        <v>This question does not apply.</v>
      </c>
      <c r="E336" s="206" t="str">
        <f aca="false">VLOOKUP($A336,AI!$A$13:$E$55,5,0)&amp;""</f>
        <v>Based on the response to REQU-04 on the "START HERE" tab, this question does not apply to this product or service.</v>
      </c>
      <c r="F336" s="212"/>
      <c r="G336" s="197" t="str">
        <f aca="false">VLOOKUP($A336,Questions!$A$2:$X$333,21,0)&amp;""</f>
        <v>Yes</v>
      </c>
      <c r="H336" s="198"/>
      <c r="I336" s="199" t="str">
        <f aca="false">VLOOKUP($A336,Questions!$A$2:$X$333,23,0)&amp;""</f>
        <v>Minor Importance</v>
      </c>
      <c r="J336" s="198"/>
      <c r="K336" s="200" t="b">
        <f aca="false">FALSE()</f>
        <v>0</v>
      </c>
      <c r="L336" s="1"/>
    </row>
    <row r="337" s="176" customFormat="true" ht="83.55" hidden="false" customHeight="false" outlineLevel="0" collapsed="false">
      <c r="A337" s="35" t="str">
        <f aca="false">AI!$A$46</f>
        <v>AIML-06</v>
      </c>
      <c r="B337" s="36" t="str">
        <f aca="false">VLOOKUP($A337,AI!$A$13:$E$55,2,0)&amp;""</f>
        <v>Have you implemented adversarial training or other model defense mechanisms to protect your ML-related features?</v>
      </c>
      <c r="C337" s="199" t="str">
        <f aca="false">VLOOKUP($A337,AI!$A$13:$E$55,3,0)&amp;""</f>
        <v/>
      </c>
      <c r="D337" s="68" t="str">
        <f aca="false">IF(LEFT(VLOOKUP($A337,AI!$A$13:$E$55,5,0),21)='Auto Responses'!$A$32,'Auto Responses'!$A$33,VLOOKUP($A337,AI!$A$13:$E$55,4,0))&amp;""</f>
        <v>This question does not apply.</v>
      </c>
      <c r="E337" s="206" t="str">
        <f aca="false">VLOOKUP($A337,AI!$A$13:$E$55,5,0)&amp;""</f>
        <v>Based on the response to REQU-04 on the "START HERE" tab, this question does not apply to this product or service.</v>
      </c>
      <c r="F337" s="212"/>
      <c r="G337" s="197" t="str">
        <f aca="false">VLOOKUP($A337,Questions!$A$2:$X$333,21,0)&amp;""</f>
        <v>Yes</v>
      </c>
      <c r="H337" s="198"/>
      <c r="I337" s="199" t="str">
        <f aca="false">VLOOKUP($A337,Questions!$A$2:$X$333,23,0)&amp;""</f>
        <v>Minor Importance</v>
      </c>
      <c r="J337" s="198"/>
      <c r="K337" s="200" t="b">
        <f aca="false">FALSE()</f>
        <v>0</v>
      </c>
      <c r="L337" s="1"/>
    </row>
    <row r="338" s="176" customFormat="true" ht="149.25" hidden="false" customHeight="false" outlineLevel="0" collapsed="false">
      <c r="A338" s="35" t="str">
        <f aca="false">AI!$A$47</f>
        <v>AIML-07</v>
      </c>
      <c r="B338" s="36" t="str">
        <f aca="false">VLOOKUP($A338,AI!$A$13:$E$55,2,0)&amp;""</f>
        <v>Do you make your ML model transparent through documentation and log inputs and outputs?</v>
      </c>
      <c r="C338" s="199" t="str">
        <f aca="false">VLOOKUP($A338,AI!$A$13:$E$55,3,0)&amp;""</f>
        <v/>
      </c>
      <c r="D338" s="68" t="str">
        <f aca="false">IF(LEFT(VLOOKUP($A338,AI!$A$13:$E$55,5,0),21)='Auto Responses'!$A$32,'Auto Responses'!$A$33,VLOOKUP($A338,AI!$A$13:$E$55,4,0))&amp;""</f>
        <v>This question does not apply.</v>
      </c>
      <c r="E338" s="206" t="str">
        <f aca="false">VLOOKUP($A338,AI!$A$13:$E$55,5,0)&amp;""</f>
        <v>Based on the response to REQU-04 on the "START HERE" tab, this question does not apply to this product or service.</v>
      </c>
      <c r="F338" s="212"/>
      <c r="G338" s="197" t="str">
        <f aca="false">VLOOKUP($A338,Questions!$A$2:$X$333,21,0)&amp;""</f>
        <v>Yes</v>
      </c>
      <c r="H338" s="198"/>
      <c r="I338" s="199" t="str">
        <f aca="false">VLOOKUP($A338,Questions!$A$2:$X$333,23,0)&amp;""</f>
        <v>Minor Importance</v>
      </c>
      <c r="J338" s="198"/>
      <c r="K338" s="200" t="b">
        <f aca="false">FALSE()</f>
        <v>0</v>
      </c>
      <c r="L338" s="1"/>
    </row>
    <row r="339" s="176" customFormat="true" ht="83.55" hidden="false" customHeight="false" outlineLevel="0" collapsed="false">
      <c r="A339" s="35" t="str">
        <f aca="false">AI!$A$48</f>
        <v>AIML-08</v>
      </c>
      <c r="B339" s="36" t="str">
        <f aca="false">VLOOKUP($A339,AI!$A$13:$E$55,2,0)&amp;""</f>
        <v>Do you watermark your ML training data?</v>
      </c>
      <c r="C339" s="199" t="str">
        <f aca="false">VLOOKUP($A339,AI!$A$13:$E$55,3,0)&amp;""</f>
        <v/>
      </c>
      <c r="D339" s="68" t="str">
        <f aca="false">IF(LEFT(VLOOKUP($A339,AI!$A$13:$E$55,5,0),21)='Auto Responses'!$A$32,'Auto Responses'!$A$33,VLOOKUP($A339,AI!$A$13:$E$55,4,0))&amp;""</f>
        <v>This question does not apply.</v>
      </c>
      <c r="E339" s="206" t="str">
        <f aca="false">VLOOKUP($A339,AI!$A$13:$E$55,5,0)&amp;""</f>
        <v>Based on the response to REQU-04 on the "START HERE" tab, this question does not apply to this product or service.</v>
      </c>
      <c r="F339" s="212"/>
      <c r="G339" s="197" t="str">
        <f aca="false">VLOOKUP($A339,Questions!$A$2:$X$333,21,0)&amp;""</f>
        <v>Yes</v>
      </c>
      <c r="H339" s="198"/>
      <c r="I339" s="199" t="str">
        <f aca="false">VLOOKUP($A339,Questions!$A$2:$X$333,23,0)&amp;""</f>
        <v>Minor Importance</v>
      </c>
      <c r="J339" s="198"/>
      <c r="K339" s="200" t="b">
        <f aca="false">FALSE()</f>
        <v>0</v>
      </c>
      <c r="L339" s="1"/>
    </row>
    <row r="340" customFormat="false" ht="17.9" hidden="false" customHeight="false" outlineLevel="0" collapsed="false">
      <c r="A340" s="31" t="str">
        <f aca="false">VLOOKUP(LEFT($A341,4),'Auto Responses'!$N$4:$O$38,2,0)&amp;""</f>
        <v> AI Large Language Model (LLM)</v>
      </c>
      <c r="B340" s="42"/>
      <c r="C340" s="216"/>
      <c r="D340" s="43"/>
      <c r="E340" s="217"/>
      <c r="F340" s="192" t="s">
        <v>454</v>
      </c>
      <c r="G340" s="201" t="s">
        <v>449</v>
      </c>
      <c r="H340" s="201" t="s">
        <v>450</v>
      </c>
      <c r="I340" s="201" t="s">
        <v>451</v>
      </c>
      <c r="J340" s="201" t="s">
        <v>452</v>
      </c>
      <c r="K340" s="43"/>
      <c r="L340" s="1"/>
      <c r="M340" s="1"/>
      <c r="N340" s="1"/>
    </row>
    <row r="341" customFormat="false" ht="99.95" hidden="false" customHeight="false" outlineLevel="0" collapsed="false">
      <c r="A341" s="35" t="str">
        <f aca="false">AI!$A$50</f>
        <v>AILM-01</v>
      </c>
      <c r="B341" s="36" t="str">
        <f aca="false">VLOOKUP($A341,AI!$A$13:$E$55,2,0)&amp;""</f>
        <v>Do you limit your solution's LLM privileges by default?*</v>
      </c>
      <c r="C341" s="199" t="str">
        <f aca="false">VLOOKUP($A341,AI!$A$13:$E$55,3,0)&amp;""</f>
        <v/>
      </c>
      <c r="D341" s="68" t="str">
        <f aca="false">IF(LEFT(VLOOKUP($A341,AI!$A$13:$E$55,5,0),21)='Auto Responses'!$A$32,'Auto Responses'!$A$33,VLOOKUP($A341,AI!$A$13:$E$55,4,0))&amp;""</f>
        <v>This question does not apply.</v>
      </c>
      <c r="E341" s="206" t="str">
        <f aca="false">VLOOKUP($A341,AI!$A$13:$E$55,5,0)&amp;""</f>
        <v>Based on the response to REQU-04 on the "START HERE" tab, this question does not apply to this product or service.</v>
      </c>
      <c r="F341" s="212"/>
      <c r="G341" s="197" t="str">
        <f aca="false">VLOOKUP($A341,Questions!$A$2:$X$333,21,0)&amp;""</f>
        <v>Yes</v>
      </c>
      <c r="H341" s="198"/>
      <c r="I341" s="199" t="str">
        <f aca="false">VLOOKUP($A341,Questions!$A$2:$X$333,23,0)&amp;""</f>
        <v>Critical Importance</v>
      </c>
      <c r="J341" s="198"/>
      <c r="K341" s="200" t="b">
        <f aca="false">FALSE()</f>
        <v>0</v>
      </c>
      <c r="L341" s="1"/>
      <c r="M341" s="176"/>
      <c r="N341" s="176"/>
    </row>
    <row r="342" customFormat="false" ht="182.05" hidden="false" customHeight="false" outlineLevel="0" collapsed="false">
      <c r="A342" s="35" t="str">
        <f aca="false">AI!$A$51</f>
        <v>AILM-02</v>
      </c>
      <c r="B342" s="36" t="str">
        <f aca="false">VLOOKUP($A342,AI!$A$13:$E$55,2,0)&amp;""</f>
        <v>Is your LLM training data vetted, validated, and verified before training the solution's AI model?*</v>
      </c>
      <c r="C342" s="199" t="str">
        <f aca="false">VLOOKUP($A342,AI!$A$13:$E$55,3,0)&amp;""</f>
        <v/>
      </c>
      <c r="D342" s="68" t="str">
        <f aca="false">IF(LEFT(VLOOKUP($A342,AI!$A$13:$E$55,5,0),21)='Auto Responses'!$A$32,'Auto Responses'!$A$33,VLOOKUP($A342,AI!$A$13:$E$55,4,0))&amp;""</f>
        <v>This question does not apply.</v>
      </c>
      <c r="E342" s="206" t="str">
        <f aca="false">VLOOKUP($A342,AI!$A$13:$E$55,5,0)&amp;""</f>
        <v>Based on the response to REQU-04 on the "START HERE" tab, this question does not apply to this product or service.</v>
      </c>
      <c r="F342" s="212"/>
      <c r="G342" s="197" t="str">
        <f aca="false">VLOOKUP($A342,Questions!$A$2:$X$333,21,0)&amp;""</f>
        <v>Yes</v>
      </c>
      <c r="H342" s="198"/>
      <c r="I342" s="199" t="str">
        <f aca="false">VLOOKUP($A342,Questions!$A$2:$X$333,23,0)&amp;""</f>
        <v>Critical Importance</v>
      </c>
      <c r="J342" s="198"/>
      <c r="K342" s="200" t="b">
        <f aca="false">FALSE()</f>
        <v>0</v>
      </c>
      <c r="L342" s="1"/>
      <c r="M342" s="176"/>
      <c r="N342" s="176"/>
    </row>
    <row r="343" customFormat="false" ht="99.95" hidden="false" customHeight="false" outlineLevel="0" collapsed="false">
      <c r="A343" s="35" t="str">
        <f aca="false">AI!$A$52</f>
        <v>AILM-03</v>
      </c>
      <c r="B343" s="36" t="str">
        <f aca="false">VLOOKUP($A343,AI!$A$13:$E$55,2,0)&amp;""</f>
        <v>Do any actions taken by your solution's LLM features or plugins require human intervention?*</v>
      </c>
      <c r="C343" s="199" t="str">
        <f aca="false">VLOOKUP($A343,AI!$A$13:$E$55,3,0)&amp;""</f>
        <v/>
      </c>
      <c r="D343" s="68" t="str">
        <f aca="false">IF(LEFT(VLOOKUP($A343,AI!$A$13:$E$55,5,0),21)='Auto Responses'!$A$32,'Auto Responses'!$A$33,VLOOKUP($A343,AI!$A$13:$E$55,4,0))&amp;""</f>
        <v>This question does not apply.</v>
      </c>
      <c r="E343" s="206" t="str">
        <f aca="false">VLOOKUP($A343,AI!$A$13:$E$55,5,0)&amp;""</f>
        <v>Based on the response to REQU-04 on the "START HERE" tab, this question does not apply to this product or service.</v>
      </c>
      <c r="F343" s="212"/>
      <c r="G343" s="197" t="str">
        <f aca="false">VLOOKUP($A343,Questions!$A$2:$X$333,21,0)&amp;""</f>
        <v>Yes</v>
      </c>
      <c r="H343" s="198"/>
      <c r="I343" s="199" t="str">
        <f aca="false">VLOOKUP($A343,Questions!$A$2:$X$333,23,0)&amp;""</f>
        <v>Critical Importance</v>
      </c>
      <c r="J343" s="198"/>
      <c r="K343" s="200" t="b">
        <f aca="false">FALSE()</f>
        <v>0</v>
      </c>
      <c r="L343" s="1"/>
      <c r="M343" s="176"/>
      <c r="N343" s="176"/>
    </row>
    <row r="344" customFormat="false" ht="99.95" hidden="false" customHeight="false" outlineLevel="0" collapsed="false">
      <c r="A344" s="35" t="str">
        <f aca="false">AI!$A$53</f>
        <v>AILM-04</v>
      </c>
      <c r="B344" s="36" t="str">
        <f aca="false">VLOOKUP($A344,AI!$A$13:$E$55,2,0)&amp;""</f>
        <v>Do you limit multiple LLM model plugins being called as part of a single input?*</v>
      </c>
      <c r="C344" s="199" t="str">
        <f aca="false">VLOOKUP($A344,AI!$A$13:$E$55,3,0)&amp;""</f>
        <v/>
      </c>
      <c r="D344" s="68" t="str">
        <f aca="false">IF(LEFT(VLOOKUP($A344,AI!$A$13:$E$55,5,0),21)='Auto Responses'!$A$32,'Auto Responses'!$A$33,VLOOKUP($A344,AI!$A$13:$E$55,4,0))&amp;""</f>
        <v>This question does not apply.</v>
      </c>
      <c r="E344" s="206" t="str">
        <f aca="false">VLOOKUP($A344,AI!$A$13:$E$55,5,0)&amp;""</f>
        <v>Based on the response to REQU-04 on the "START HERE" tab, this question does not apply to this product or service.</v>
      </c>
      <c r="F344" s="212"/>
      <c r="G344" s="197" t="str">
        <f aca="false">VLOOKUP($A344,Questions!$A$2:$X$333,21,0)&amp;""</f>
        <v>Yes</v>
      </c>
      <c r="H344" s="198"/>
      <c r="I344" s="199" t="str">
        <f aca="false">VLOOKUP($A344,Questions!$A$2:$X$333,23,0)&amp;""</f>
        <v>Critical Importance</v>
      </c>
      <c r="J344" s="198"/>
      <c r="K344" s="200" t="b">
        <f aca="false">FALSE()</f>
        <v>0</v>
      </c>
      <c r="L344" s="1"/>
      <c r="M344" s="176"/>
      <c r="N344" s="176"/>
    </row>
    <row r="345" customFormat="false" ht="67.15" hidden="false" customHeight="false" outlineLevel="0" collapsed="false">
      <c r="A345" s="35" t="str">
        <f aca="false">AI!$A$54</f>
        <v>AILM-05</v>
      </c>
      <c r="B345" s="36" t="str">
        <f aca="false">VLOOKUP($A345,AI!$A$13:$E$55,2,0)&amp;""</f>
        <v>Do you limit your solution's LLM resource use per request, per step, and per action?</v>
      </c>
      <c r="C345" s="199" t="str">
        <f aca="false">VLOOKUP($A345,AI!$A$13:$E$55,3,0)&amp;""</f>
        <v/>
      </c>
      <c r="D345" s="68" t="str">
        <f aca="false">IF(LEFT(VLOOKUP($A345,AI!$A$13:$E$55,5,0),21)='Auto Responses'!$A$32,'Auto Responses'!$A$33,VLOOKUP($A345,AI!$A$13:$E$55,4,0))&amp;""</f>
        <v>This question does not apply.</v>
      </c>
      <c r="E345" s="206" t="str">
        <f aca="false">VLOOKUP($A345,AI!$A$13:$E$55,5,0)&amp;""</f>
        <v>Based on the response to REQU-04 on the "START HERE" tab, this question does not apply to this product or service.</v>
      </c>
      <c r="F345" s="212"/>
      <c r="G345" s="197" t="str">
        <f aca="false">VLOOKUP($A345,Questions!$A$2:$X$333,21,0)&amp;""</f>
        <v>Yes</v>
      </c>
      <c r="H345" s="198"/>
      <c r="I345" s="199" t="str">
        <f aca="false">VLOOKUP($A345,Questions!$A$2:$X$333,23,0)&amp;""</f>
        <v>Standard Importance</v>
      </c>
      <c r="J345" s="198"/>
      <c r="K345" s="200" t="b">
        <f aca="false">FALSE()</f>
        <v>0</v>
      </c>
      <c r="L345" s="1"/>
      <c r="M345" s="176"/>
      <c r="N345" s="176"/>
    </row>
    <row r="346" customFormat="false" ht="67.15" hidden="false" customHeight="false" outlineLevel="0" collapsed="false">
      <c r="A346" s="35" t="str">
        <f aca="false">AI!$A$55</f>
        <v>AILM-06</v>
      </c>
      <c r="B346" s="36" t="str">
        <f aca="false">VLOOKUP($A346,AI!$A$13:$E$55,2,0)&amp;""</f>
        <v>Do you leverage LLM model tuning or other model validation mechanisms?</v>
      </c>
      <c r="C346" s="199" t="str">
        <f aca="false">VLOOKUP($A346,AI!$A$13:$E$55,3,0)&amp;""</f>
        <v/>
      </c>
      <c r="D346" s="68" t="str">
        <f aca="false">IF(LEFT(VLOOKUP($A346,AI!$A$13:$E$55,5,0),21)='Auto Responses'!$A$32,'Auto Responses'!$A$33,VLOOKUP($A346,AI!$A$13:$E$55,4,0))&amp;""</f>
        <v>This question does not apply.</v>
      </c>
      <c r="E346" s="206" t="str">
        <f aca="false">VLOOKUP($A346,AI!$A$13:$E$55,5,0)&amp;""</f>
        <v>Based on the response to REQU-04 on the "START HERE" tab, this question does not apply to this product or service.</v>
      </c>
      <c r="F346" s="212"/>
      <c r="G346" s="197" t="str">
        <f aca="false">VLOOKUP($A346,Questions!$A$2:$X$333,21,0)&amp;""</f>
        <v>Yes</v>
      </c>
      <c r="H346" s="198"/>
      <c r="I346" s="199" t="str">
        <f aca="false">VLOOKUP($A346,Questions!$A$2:$X$333,23,0)&amp;""</f>
        <v>Standard Importance</v>
      </c>
      <c r="J346" s="198"/>
      <c r="K346" s="200" t="b">
        <f aca="false">FALSE()</f>
        <v>0</v>
      </c>
      <c r="L346" s="1"/>
      <c r="M346" s="176"/>
      <c r="N346" s="51" t="s">
        <v>37</v>
      </c>
    </row>
    <row r="347" customFormat="false" ht="42" hidden="false" customHeight="true" outlineLevel="0" collapsed="false">
      <c r="A347" s="61" t="s">
        <v>50</v>
      </c>
    </row>
    <row r="348" customFormat="false" ht="15" hidden="true" customHeight="true" outlineLevel="0" collapsed="false"/>
    <row r="349" customFormat="false" ht="15" hidden="true" customHeight="true" outlineLevel="0" collapsed="false"/>
    <row r="350" customFormat="false" ht="15" hidden="true" customHeight="true" outlineLevel="0" collapsed="false"/>
    <row r="351" customFormat="false" ht="15" hidden="true" customHeight="true" outlineLevel="0" collapsed="false"/>
    <row r="352" customFormat="false" ht="15" hidden="true" customHeight="true" outlineLevel="0" collapsed="false"/>
    <row r="353" customFormat="false" ht="15" hidden="true" customHeight="true" outlineLevel="0" collapsed="false"/>
    <row r="354" customFormat="false" ht="15" hidden="true" customHeight="true" outlineLevel="0" collapsed="false"/>
    <row r="355" customFormat="false" ht="15" hidden="true" customHeight="true" outlineLevel="0" collapsed="false"/>
    <row r="356" customFormat="false" ht="15" hidden="true" customHeight="true" outlineLevel="0" collapsed="false"/>
    <row r="357" customFormat="false" ht="15" hidden="true" customHeight="true" outlineLevel="0" collapsed="false"/>
    <row r="358" customFormat="false" ht="15" hidden="true" customHeight="true" outlineLevel="0" collapsed="false"/>
    <row r="359" customFormat="false" ht="15" hidden="true" customHeight="true" outlineLevel="0" collapsed="false"/>
    <row r="360" customFormat="false" ht="15" hidden="true" customHeight="true" outlineLevel="0" collapsed="false"/>
    <row r="361" customFormat="false" ht="15" hidden="true" customHeight="true" outlineLevel="0" collapsed="false"/>
    <row r="362" customFormat="false" ht="15" hidden="true" customHeight="true" outlineLevel="0" collapsed="false"/>
    <row r="363" customFormat="false" ht="15" hidden="true" customHeight="true" outlineLevel="0" collapsed="false"/>
    <row r="364" customFormat="false" ht="15" hidden="true" customHeight="true" outlineLevel="0" collapsed="false"/>
  </sheetData>
  <mergeCells count="1">
    <mergeCell ref="A19:C19"/>
  </mergeCells>
  <conditionalFormatting sqref="H40:I40">
    <cfRule type="dataBar" priority="2">
      <dataBar showValue="1" minLength="10" maxLength="90">
        <cfvo type="num" val="0"/>
        <cfvo type="num" val="1"/>
        <color rgb="FF638EC6"/>
      </dataBar>
      <extLst>
        <ext xmlns:x14="http://schemas.microsoft.com/office/spreadsheetml/2009/9/main" uri="{B025F937-C7B1-47D3-B67F-A62EFF666E3E}">
          <x14:id>{4C94ECE7-7366-4A5E-AD21-865AD9401A3F}</x14:id>
        </ext>
      </extLst>
    </cfRule>
  </conditionalFormatting>
  <conditionalFormatting sqref="F21:G40">
    <cfRule type="dataBar" priority="3">
      <dataBar showValue="1" minLength="10" maxLength="90">
        <cfvo type="num" val="0"/>
        <cfvo type="num" val="1"/>
        <color rgb="FFD0DAF0"/>
      </dataBar>
      <extLst>
        <ext xmlns:x14="http://schemas.microsoft.com/office/spreadsheetml/2009/9/main" uri="{B025F937-C7B1-47D3-B67F-A62EFF666E3E}">
          <x14:id>{20CD44AA-66F7-4CE0-94D1-756D10C8341E}</x14:id>
        </ext>
      </extLst>
    </cfRule>
  </conditionalFormatting>
  <dataValidations count="4">
    <dataValidation allowBlank="true" errorStyle="stop" operator="between" prompt="The HECVAT is built using a number of complex formulas. Editing this cell can break the functionality of the tool. " promptTitle="Warning!" showDropDown="false" showErrorMessage="true" showInputMessage="true" sqref="B2 I2 A3:B17 B20:I20 B21:B40 D21:I39 C40:I40 A44:E347 G56:G346 I56:I346" type="none">
      <formula1>0</formula1>
      <formula2>0</formula2>
    </dataValidation>
    <dataValidation allowBlank="true" errorStyle="stop" operator="between" prompt="This answer has been populated from the &quot;START HERE&quot; tab and does not need to be re-entered." showDropDown="false" showErrorMessage="true" showInputMessage="true" sqref="C11:C17" type="none">
      <formula1>0</formula1>
      <formula2>0</formula2>
    </dataValidation>
    <dataValidation allowBlank="true" errorStyle="stop" operator="between" showDropDown="false" showErrorMessage="true" showInputMessage="true" sqref="J56:J64 J66:J70 J72:J79 J81:J87 J89:J93 J95:J110 J112:J126 J128:J145 J147:J169 J171:J184 J186:J201 J203:J213 J215:J218 J220:J225 J227:J244 J246:J255 J257:J285 J287:J298 J300:J309 J311:J312 J314:J318 J320:J324 J326:J330 J332:J339 J341:J346" type="list">
      <formula1>'Auto Responses'!$J$11:$J$14</formula1>
      <formula2>0</formula2>
    </dataValidation>
    <dataValidation allowBlank="true" errorStyle="stop" operator="between" showDropDown="false" showErrorMessage="true" showInputMessage="true" sqref="H56:H64 H66:H70 H72:H79 H81:H87 H89:H93 H95:H110 H112:H126 H128:H145 H147:H169 H171:H184 H186:H201 H203:H213 H215:H218 H220:H225 H227:H244 H246:H255 H257:H285 H287:H298 H300:H309 H311:H312 H314:H318 H320:H324 H326:H330 H332:H339 H341:H346" type="list">
      <formula1>'Auto Responses'!$J$7:$J$8</formula1>
      <formula2>0</formula2>
    </dataValidation>
  </dataValidations>
  <hyperlinks>
    <hyperlink ref="A10" r:id="rId1" display="http://www.educause.edu/HECVAT"/>
    <hyperlink ref="G21" location="'Institution Evaluation'!A66" display="#'Institution Evaluation'.A66"/>
    <hyperlink ref="G22" location="'Institution Evaluation'!A81" display="#'Institution Evaluation'.A81"/>
    <hyperlink ref="G23" location="'Institution Evaluation'!A89" display="#'Institution Evaluation'.A89"/>
    <hyperlink ref="G24" location="'Institution Evaluation'!A95" display="#'Institution Evaluation'.A95"/>
    <hyperlink ref="G25" location="'Institution Evaluation'!A112" display="#'Institution Evaluation'.A112"/>
    <hyperlink ref="G26" location="'Institution Evaluation'!A128" display="#'Institution Evaluation'.A128"/>
    <hyperlink ref="G27" location="'Institution Evaluation'!A147" display="#'Institution Evaluation'.A147"/>
    <hyperlink ref="G28" location="'Institution Evaluation'!A171" display="#'Institution Evaluation'.A171"/>
    <hyperlink ref="G29" location="'Institution Evaluation'!A186" display="#'Institution Evaluation'.A186"/>
    <hyperlink ref="G30" location="'Institution Evaluation'!A204" display="#'Institution Evaluation'.A204"/>
    <hyperlink ref="G31" location="'Institution Evaluation'!A206" display="#'Institution Evaluation'.A206"/>
    <hyperlink ref="G32" location="'Institution Evaluation'!A221" display="#'Institution Evaluation'.A221"/>
    <hyperlink ref="G33" location="'Institution Evaluation'!A247" display="#'Institution Evaluation'.A247"/>
    <hyperlink ref="G34" location="'Institution Evaluation'!A258" display="#'Institution Evaluation'.A258"/>
    <hyperlink ref="G35" location="'Institution Evaluation'!A288" display="#'Institution Evaluation'.A288"/>
    <hyperlink ref="G36" location="'Institution Evaluation'!A301" display="#'Institution Evaluation'.A301"/>
    <hyperlink ref="G37" location="'Institution Evaluation'!A228" display="#'Institution Evaluation'.A228"/>
    <hyperlink ref="G38" location="'Institution Evaluation'!A311" display="#'Institution Evaluation'.A311"/>
    <hyperlink ref="G39" location="'Privacy Analyst Evaluation'!A1" display="#'Privacy Analyst Evaluation'.A1"/>
    <hyperlink ref="A52" r:id="rId2" display="http://www.educause.edu/HECVAT"/>
    <hyperlink ref="F55" location="'Institution Evaluation'!A1" display="Back to Scorecard"/>
    <hyperlink ref="F65" location="'Institution Evaluation'!A1" display="Back to Scorecard"/>
    <hyperlink ref="F71" location="'Institution Evaluation'!A1" display="Back to Scorecard"/>
    <hyperlink ref="F80" location="'Institution Evaluation'!A1" display="Back to Scorecard"/>
    <hyperlink ref="F88" location="'Institution Evaluation'!A1" display="Back to Scorecard"/>
    <hyperlink ref="F94" location="'Institution Evaluation'!A1" display="Back to Scorecard"/>
    <hyperlink ref="F111" location="'Institution Evaluation'!A1" display="Back to Scorecard"/>
    <hyperlink ref="F127" location="'Institution Evaluation'!A1" display="Back to Scorecard"/>
    <hyperlink ref="F146" location="'Institution Evaluation'!A1" display="Back to Scorecard"/>
    <hyperlink ref="F170" location="'Institution Evaluation'!A1" display="Back to Scorecard"/>
    <hyperlink ref="F185" location="'Institution Evaluation'!A1" display="Back to Scorecard"/>
    <hyperlink ref="F202" location="'Institution Evaluation'!A1" display="Back to Scorecard"/>
    <hyperlink ref="F214" location="'Institution Evaluation'!A1" display="Back to Scorecard"/>
    <hyperlink ref="F219" location="'Institution Evaluation'!A1" display="Back to Scorecard"/>
    <hyperlink ref="F226" location="'Institution Evaluation'!A1" display="Back to Scorecard"/>
    <hyperlink ref="F245" location="'Institution Evaluation'!A1" display="Back to Scorecard"/>
    <hyperlink ref="F256" location="'Institution Evaluation'!A1" display="Back to Scorecard"/>
    <hyperlink ref="F286" location="'Institution Evaluation'!A1" display="Back to Scorecard"/>
    <hyperlink ref="F299" location="'Institution Evaluation'!A1" display="Back to Scorecard"/>
    <hyperlink ref="F310" location="'Institution Evaluation'!A1" display="Back to Scorecard"/>
    <hyperlink ref="F313" location="'Institution Evaluation'!A1" display="Back to Scorecard"/>
    <hyperlink ref="F319" location="'Institution Evaluation'!A1" display="Back to Scorecard"/>
    <hyperlink ref="F325" location="'Institution Evaluation'!A1" display="Back to Scorecard"/>
    <hyperlink ref="F331" location="'Institution Evaluation'!A1" display="Back to Scorecard"/>
    <hyperlink ref="F340" location="'Institution Evaluation'!A1" display="Back to Scorecard"/>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extLst>
    <ext xmlns:x14="http://schemas.microsoft.com/office/spreadsheetml/2009/9/main" uri="{78C0D931-6437-407d-A8EE-F0AAD7539E65}">
      <x14:conditionalFormattings>
        <x14:conditionalFormatting xmlns:xm="http://schemas.microsoft.com/office/excel/2006/main">
          <x14:cfRule type="dataBar" id="{4C94ECE7-7366-4A5E-AD21-865AD9401A3F}">
            <x14:dataBar minLength="10" maxLength="90" axisPosition="none" gradient="false">
              <x14:cfvo type="num">
                <xm:f>0</xm:f>
              </x14:cfvo>
              <x14:cfvo type="num">
                <xm:f>1</xm:f>
              </x14:cfvo>
              <x14:negativeFillColor rgb="FFFF0000"/>
              <x14:axisColor rgb="FF000000"/>
            </x14:dataBar>
          </x14:cfRule>
          <xm:sqref>H40:I40</xm:sqref>
        </x14:conditionalFormatting>
        <x14:conditionalFormatting xmlns:xm="http://schemas.microsoft.com/office/excel/2006/main">
          <x14:cfRule type="dataBar" id="{20CD44AA-66F7-4CE0-94D1-756D10C8341E}">
            <x14:dataBar minLength="10" maxLength="90" axisPosition="none" gradient="false">
              <x14:cfvo type="num">
                <xm:f>0</xm:f>
              </x14:cfvo>
              <x14:cfvo type="num">
                <xm:f>1</xm:f>
              </x14:cfvo>
              <x14:negativeFillColor rgb="FFFF0000"/>
              <x14:axisColor rgb="FF000000"/>
            </x14:dataBar>
          </x14:cfRule>
          <xm:sqref>F21:G40</xm:sqref>
        </x14:conditionalFormatting>
      </x14:conditionalFormattings>
    </ext>
  </extLst>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DF336D-6B97-407A-8300-C0C188644765}">
  <ds:schemaRefs>
    <ds:schemaRef ds:uri="http://purl.org/dc/dcmitype/"/>
    <ds:schemaRef ds:uri="http://purl.org/dc/elements/1.1/"/>
    <ds:schemaRef ds:uri="http://purl.org/dc/terms/"/>
    <ds:schemaRef ds:uri="http://schemas.microsoft.com/office/infopath/2007/PartnerControls"/>
    <ds:schemaRef ds:uri="6ce987aa-ba57-409a-b474-072a10bf63c3"/>
    <ds:schemaRef ds:uri="http://www.w3.org/XML/1998/namespace"/>
    <ds:schemaRef ds:uri="http://schemas.microsoft.com/office/2006/documentManagement/types"/>
    <ds:schemaRef ds:uri="http://schemas.openxmlformats.org/package/2006/metadata/core-properties"/>
    <ds:schemaRef ds:uri="59db3a20-cd76-483e-8241-5de0717f7c1b"/>
    <ds:schemaRef ds:uri="http://schemas.microsoft.com/office/2006/metadata/properties"/>
  </ds:schemaRefs>
</ds:datastoreItem>
</file>

<file path=customXml/itemProps2.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7CA352-70DF-4A8C-BE16-1BA25A2D4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1134</TotalTime>
  <Application>LibreOffice/25.2.6.2$Linux_X86_64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2024-11-11T16:57:18Z</dcterms:created>
  <dc:creator>BJ Hollowell</dc:creator>
  <dc:description/>
  <dc:language>fr-FR</dc:language>
  <cp:lastModifiedBy/>
  <dcterms:modified xsi:type="dcterms:W3CDTF">2025-10-26T13:59:45Z</dcterms:modified>
  <cp:revision>31</cp:revision>
  <dc:subject/>
  <dc:title>HECVAT 4.0</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